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PLANOVI\PLANOVI 2024 - 2026\Izvještaji o izvršenju\Izvještaj o izvršenju 31 12 2024\Za objavu\"/>
    </mc:Choice>
  </mc:AlternateContent>
  <xr:revisionPtr revIDLastSave="0" documentId="13_ncr:1_{262A051F-986E-4C69-9E96-45D28D77C875}" xr6:coauthVersionLast="36" xr6:coauthVersionMax="36" xr10:uidLastSave="{00000000-0000-0000-0000-000000000000}"/>
  <bookViews>
    <workbookView xWindow="0" yWindow="0" windowWidth="28800" windowHeight="11805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POSEBNI_DIO_!$A$1:$E$134</definedName>
    <definedName name="_xlnm.Print_Area" localSheetId="1">'RAČUN PRIHODA I RASHODA'!$A$1:$I$167</definedName>
    <definedName name="_xlnm.Print_Area" localSheetId="0">'SAŽETAK '!#REF!</definedName>
  </definedNames>
  <calcPr calcId="191029"/>
</workbook>
</file>

<file path=xl/calcChain.xml><?xml version="1.0" encoding="utf-8"?>
<calcChain xmlns="http://schemas.openxmlformats.org/spreadsheetml/2006/main">
  <c r="I27" i="1" l="1"/>
  <c r="H27" i="1"/>
  <c r="G27" i="1"/>
  <c r="F277" i="10" l="1"/>
  <c r="G255" i="10"/>
  <c r="G258" i="10"/>
  <c r="G257" i="10"/>
  <c r="I26" i="1"/>
  <c r="J26" i="1"/>
  <c r="E34" i="11"/>
  <c r="E33" i="11"/>
  <c r="E32" i="11"/>
  <c r="F35" i="11"/>
  <c r="F34" i="11"/>
  <c r="F33" i="11"/>
  <c r="F32" i="11"/>
  <c r="G16" i="1" l="1"/>
  <c r="H16" i="1"/>
  <c r="I16" i="1"/>
  <c r="J16" i="1"/>
  <c r="J15" i="1"/>
  <c r="J25" i="1"/>
  <c r="J13" i="1"/>
  <c r="I14" i="1"/>
  <c r="G34" i="11"/>
  <c r="G33" i="11"/>
  <c r="F245" i="10" l="1"/>
  <c r="G29" i="11"/>
  <c r="F29" i="11"/>
  <c r="E29" i="11"/>
  <c r="G20" i="11"/>
  <c r="F20" i="11"/>
  <c r="E20" i="11"/>
  <c r="G15" i="1"/>
  <c r="G114" i="7"/>
  <c r="G119" i="7"/>
  <c r="G118" i="7" s="1"/>
  <c r="F119" i="7"/>
  <c r="F118" i="7" s="1"/>
  <c r="E118" i="7"/>
  <c r="G106" i="7"/>
  <c r="E92" i="7"/>
  <c r="E87" i="7"/>
  <c r="E88" i="7"/>
  <c r="F88" i="7"/>
  <c r="G88" i="7"/>
  <c r="G89" i="7"/>
  <c r="G52" i="7"/>
  <c r="G50" i="7"/>
  <c r="G47" i="7"/>
  <c r="G32" i="7"/>
  <c r="E103" i="7" l="1"/>
  <c r="G108" i="7"/>
  <c r="F108" i="7"/>
  <c r="E108" i="7"/>
  <c r="G107" i="7"/>
  <c r="F107" i="7"/>
  <c r="E107" i="7"/>
  <c r="H107" i="7" l="1"/>
  <c r="G70" i="7"/>
  <c r="F70" i="7"/>
  <c r="F58" i="7"/>
  <c r="F161" i="7"/>
  <c r="F157" i="7"/>
  <c r="F152" i="7"/>
  <c r="F153" i="7"/>
  <c r="F145" i="7"/>
  <c r="F146" i="7"/>
  <c r="F147" i="7"/>
  <c r="F143" i="7"/>
  <c r="F135" i="7"/>
  <c r="F132" i="7"/>
  <c r="F130" i="7"/>
  <c r="F128" i="7"/>
  <c r="F127" i="7" s="1"/>
  <c r="F121" i="7"/>
  <c r="F122" i="7"/>
  <c r="F123" i="7"/>
  <c r="F124" i="7"/>
  <c r="F116" i="7"/>
  <c r="F117" i="7"/>
  <c r="F113" i="7"/>
  <c r="F112" i="7" s="1"/>
  <c r="F111" i="7" s="1"/>
  <c r="F104" i="7"/>
  <c r="F103" i="7" s="1"/>
  <c r="F98" i="7"/>
  <c r="F99" i="7"/>
  <c r="F100" i="7"/>
  <c r="F101" i="7"/>
  <c r="F102" i="7"/>
  <c r="F96" i="7"/>
  <c r="F94" i="7"/>
  <c r="F84" i="7"/>
  <c r="F77" i="7"/>
  <c r="F78" i="7"/>
  <c r="F79" i="7"/>
  <c r="F81" i="7"/>
  <c r="F65" i="7"/>
  <c r="F66" i="7"/>
  <c r="F67" i="7"/>
  <c r="F68" i="7"/>
  <c r="F69" i="7"/>
  <c r="F71" i="7"/>
  <c r="F72" i="7"/>
  <c r="F73" i="7"/>
  <c r="F60" i="7"/>
  <c r="F61" i="7"/>
  <c r="F62" i="7"/>
  <c r="F63" i="7"/>
  <c r="F55" i="7"/>
  <c r="F56" i="7"/>
  <c r="F57" i="7"/>
  <c r="F52" i="7"/>
  <c r="F50" i="7"/>
  <c r="F47" i="7"/>
  <c r="F48" i="7"/>
  <c r="E111" i="7"/>
  <c r="G113" i="7"/>
  <c r="G112" i="7" s="1"/>
  <c r="G111" i="7" s="1"/>
  <c r="G100" i="7"/>
  <c r="E127" i="7"/>
  <c r="G147" i="7"/>
  <c r="I111" i="7" l="1"/>
  <c r="F54" i="7"/>
  <c r="E76" i="3"/>
  <c r="E73" i="3"/>
  <c r="E72" i="3"/>
  <c r="E44" i="3"/>
  <c r="D76" i="3"/>
  <c r="D82" i="3"/>
  <c r="D77" i="3"/>
  <c r="D74" i="3"/>
  <c r="D73" i="3"/>
  <c r="C80" i="3"/>
  <c r="D80" i="3"/>
  <c r="D66" i="3"/>
  <c r="C66" i="3"/>
  <c r="C50" i="3"/>
  <c r="D50" i="3"/>
  <c r="C109" i="3"/>
  <c r="D107" i="3"/>
  <c r="C107" i="3"/>
  <c r="D109" i="3"/>
  <c r="C74" i="3"/>
  <c r="C73" i="3" s="1"/>
  <c r="I25" i="1" l="1"/>
  <c r="H25" i="1"/>
  <c r="I24" i="1"/>
  <c r="J24" i="1"/>
  <c r="H24" i="1"/>
  <c r="G24" i="1"/>
  <c r="H23" i="1"/>
  <c r="I23" i="1"/>
  <c r="J23" i="1"/>
  <c r="G23" i="1"/>
  <c r="H26" i="1" l="1"/>
  <c r="L24" i="1"/>
  <c r="K24" i="1"/>
  <c r="G25" i="11"/>
  <c r="E144" i="7" l="1"/>
  <c r="F144" i="7"/>
  <c r="G146" i="7"/>
  <c r="G145" i="7"/>
  <c r="G143" i="7"/>
  <c r="G142" i="7" s="1"/>
  <c r="E142" i="7"/>
  <c r="F142" i="7"/>
  <c r="F141" i="7" s="1"/>
  <c r="E115" i="7"/>
  <c r="F115" i="7"/>
  <c r="G116" i="7"/>
  <c r="G101" i="7"/>
  <c r="E97" i="7"/>
  <c r="F97" i="7"/>
  <c r="G98" i="7"/>
  <c r="G96" i="7"/>
  <c r="G95" i="7" s="1"/>
  <c r="G94" i="7"/>
  <c r="G93" i="7" s="1"/>
  <c r="E95" i="7"/>
  <c r="F95" i="7"/>
  <c r="E93" i="7"/>
  <c r="F93" i="7"/>
  <c r="F92" i="7" s="1"/>
  <c r="G73" i="7"/>
  <c r="G71" i="7"/>
  <c r="G66" i="7"/>
  <c r="G65" i="7"/>
  <c r="G60" i="7"/>
  <c r="G56" i="7"/>
  <c r="G55" i="7"/>
  <c r="E141" i="7" l="1"/>
  <c r="G144" i="7"/>
  <c r="G141" i="7"/>
  <c r="I141" i="7" s="1"/>
  <c r="D106" i="3"/>
  <c r="D105" i="3" s="1"/>
  <c r="D104" i="3" s="1"/>
  <c r="C77" i="3"/>
  <c r="D55" i="3"/>
  <c r="C59" i="3"/>
  <c r="D59" i="3"/>
  <c r="C55" i="3"/>
  <c r="C106" i="3" l="1"/>
  <c r="D118" i="3"/>
  <c r="C118" i="3"/>
  <c r="D123" i="3"/>
  <c r="C123" i="3"/>
  <c r="C121" i="3"/>
  <c r="C19" i="3"/>
  <c r="D19" i="3"/>
  <c r="C105" i="3" l="1"/>
  <c r="E105" i="3" s="1"/>
  <c r="E106" i="3"/>
  <c r="C117" i="3"/>
  <c r="E54" i="7" l="1"/>
  <c r="E129" i="7" l="1"/>
  <c r="F129" i="7"/>
  <c r="G130" i="7"/>
  <c r="G129" i="7" s="1"/>
  <c r="G104" i="7"/>
  <c r="G103" i="7" s="1"/>
  <c r="G99" i="7"/>
  <c r="G102" i="7"/>
  <c r="G123" i="7"/>
  <c r="E12" i="7"/>
  <c r="E11" i="7" s="1"/>
  <c r="F12" i="7"/>
  <c r="F11" i="7" s="1"/>
  <c r="G12" i="7"/>
  <c r="G11" i="7" s="1"/>
  <c r="E19" i="7"/>
  <c r="F19" i="7"/>
  <c r="G19" i="7"/>
  <c r="F14" i="11"/>
  <c r="F13" i="11"/>
  <c r="F8" i="11"/>
  <c r="F9" i="11"/>
  <c r="C97" i="3"/>
  <c r="D97" i="3"/>
  <c r="C64" i="3"/>
  <c r="E64" i="3"/>
  <c r="D64" i="3"/>
  <c r="C69" i="3"/>
  <c r="C68" i="3" s="1"/>
  <c r="E69" i="3"/>
  <c r="E68" i="3" s="1"/>
  <c r="D69" i="3"/>
  <c r="D68" i="3" s="1"/>
  <c r="C57" i="3"/>
  <c r="D57" i="3"/>
  <c r="C52" i="3"/>
  <c r="D52" i="3"/>
  <c r="D49" i="3" s="1"/>
  <c r="G97" i="7" l="1"/>
  <c r="C49" i="3"/>
  <c r="E49" i="3" s="1"/>
  <c r="F91" i="7"/>
  <c r="D54" i="3"/>
  <c r="C54" i="3"/>
  <c r="D48" i="3"/>
  <c r="F271" i="10"/>
  <c r="F148" i="7"/>
  <c r="E148" i="7"/>
  <c r="E262" i="10" s="1"/>
  <c r="F138" i="7"/>
  <c r="G138" i="7"/>
  <c r="E138" i="7"/>
  <c r="F105" i="7"/>
  <c r="G105" i="7"/>
  <c r="E105" i="7"/>
  <c r="F164" i="7"/>
  <c r="G164" i="7"/>
  <c r="E164" i="7"/>
  <c r="E74" i="7"/>
  <c r="E154" i="7"/>
  <c r="F154" i="7"/>
  <c r="G154" i="7"/>
  <c r="E156" i="7"/>
  <c r="F74" i="7"/>
  <c r="G74" i="7"/>
  <c r="E59" i="7"/>
  <c r="E83" i="7"/>
  <c r="E82" i="7" s="1"/>
  <c r="E151" i="7"/>
  <c r="G72" i="7"/>
  <c r="E160" i="7"/>
  <c r="F156" i="7"/>
  <c r="G157" i="7"/>
  <c r="G153" i="7"/>
  <c r="G152" i="7"/>
  <c r="G135" i="7"/>
  <c r="G132" i="7"/>
  <c r="G131" i="7" s="1"/>
  <c r="F131" i="7"/>
  <c r="F126" i="7" s="1"/>
  <c r="E132" i="7"/>
  <c r="E131" i="7" s="1"/>
  <c r="E126" i="7" s="1"/>
  <c r="G128" i="7"/>
  <c r="G127" i="7" s="1"/>
  <c r="E120" i="7"/>
  <c r="G124" i="7"/>
  <c r="G122" i="7"/>
  <c r="G121" i="7"/>
  <c r="G117" i="7"/>
  <c r="G115" i="7" s="1"/>
  <c r="G91" i="7"/>
  <c r="G84" i="7"/>
  <c r="F83" i="7"/>
  <c r="F82" i="7" s="1"/>
  <c r="E90" i="7"/>
  <c r="E76" i="7"/>
  <c r="G61" i="7"/>
  <c r="G62" i="7"/>
  <c r="G63" i="7"/>
  <c r="G67" i="7"/>
  <c r="G68" i="7"/>
  <c r="G69" i="7"/>
  <c r="G77" i="7"/>
  <c r="G78" i="7"/>
  <c r="G79" i="7"/>
  <c r="G81" i="7"/>
  <c r="G57" i="7"/>
  <c r="F9" i="7"/>
  <c r="G9" i="7"/>
  <c r="G126" i="7" l="1"/>
  <c r="G92" i="7"/>
  <c r="I126" i="7"/>
  <c r="H126" i="7"/>
  <c r="E54" i="3"/>
  <c r="I92" i="7"/>
  <c r="E166" i="7"/>
  <c r="F120" i="7"/>
  <c r="F262" i="10"/>
  <c r="E110" i="7"/>
  <c r="E159" i="7"/>
  <c r="E150" i="7"/>
  <c r="E64" i="7"/>
  <c r="E53" i="7" s="1"/>
  <c r="G83" i="7"/>
  <c r="G82" i="7" s="1"/>
  <c r="G151" i="7"/>
  <c r="F151" i="7"/>
  <c r="F160" i="7"/>
  <c r="E114" i="7"/>
  <c r="E125" i="7" s="1"/>
  <c r="G156" i="7"/>
  <c r="G120" i="7"/>
  <c r="G125" i="7" s="1"/>
  <c r="F76" i="7"/>
  <c r="F64" i="7"/>
  <c r="G76" i="7"/>
  <c r="F59" i="7"/>
  <c r="G59" i="7"/>
  <c r="G64" i="7"/>
  <c r="F53" i="7" l="1"/>
  <c r="H114" i="7"/>
  <c r="E254" i="10"/>
  <c r="E250" i="10"/>
  <c r="F114" i="7"/>
  <c r="F125" i="7" s="1"/>
  <c r="I125" i="7" s="1"/>
  <c r="G148" i="7"/>
  <c r="F159" i="7"/>
  <c r="F166" i="7"/>
  <c r="G150" i="7"/>
  <c r="F150" i="7"/>
  <c r="I148" i="7" l="1"/>
  <c r="F254" i="10"/>
  <c r="G262" i="10"/>
  <c r="E23" i="7"/>
  <c r="E22" i="7" s="1"/>
  <c r="E25" i="7" s="1"/>
  <c r="F27" i="7"/>
  <c r="F26" i="7" s="1"/>
  <c r="G27" i="7"/>
  <c r="G26" i="7" s="1"/>
  <c r="E29" i="7"/>
  <c r="E7" i="7"/>
  <c r="F7" i="7"/>
  <c r="F6" i="7" s="1"/>
  <c r="F14" i="7" s="1"/>
  <c r="G7" i="7"/>
  <c r="F16" i="7"/>
  <c r="F15" i="7" s="1"/>
  <c r="F18" i="7" s="1"/>
  <c r="F29" i="7"/>
  <c r="G29" i="7"/>
  <c r="G35" i="11" s="1"/>
  <c r="F23" i="7"/>
  <c r="F22" i="7" s="1"/>
  <c r="F25" i="7" s="1"/>
  <c r="G23" i="7"/>
  <c r="G22" i="7" s="1"/>
  <c r="G25" i="7" s="1"/>
  <c r="F31" i="7"/>
  <c r="F30" i="7" s="1"/>
  <c r="F34" i="7" s="1"/>
  <c r="E46" i="7"/>
  <c r="E49" i="7"/>
  <c r="G49" i="7"/>
  <c r="F49" i="7"/>
  <c r="G48" i="7"/>
  <c r="F51" i="7"/>
  <c r="F249" i="10" l="1"/>
  <c r="F46" i="7"/>
  <c r="F45" i="7" s="1"/>
  <c r="F86" i="7" s="1"/>
  <c r="I22" i="7" l="1"/>
  <c r="D39" i="3" l="1"/>
  <c r="C102" i="3" l="1"/>
  <c r="C101" i="3" s="1"/>
  <c r="C95" i="3"/>
  <c r="C89" i="3"/>
  <c r="C88" i="3" s="1"/>
  <c r="C82" i="3"/>
  <c r="C45" i="3"/>
  <c r="C39" i="3"/>
  <c r="C29" i="3"/>
  <c r="C24" i="3"/>
  <c r="C16" i="3"/>
  <c r="C14" i="3"/>
  <c r="C11" i="3"/>
  <c r="D130" i="3"/>
  <c r="C130" i="3"/>
  <c r="C133" i="3"/>
  <c r="D133" i="3"/>
  <c r="D121" i="3"/>
  <c r="D117" i="3" s="1"/>
  <c r="D99" i="3"/>
  <c r="C99" i="3"/>
  <c r="D24" i="3"/>
  <c r="D102" i="3"/>
  <c r="D101" i="3" s="1"/>
  <c r="E101" i="3" s="1"/>
  <c r="D95" i="3"/>
  <c r="D94" i="3" s="1"/>
  <c r="D93" i="3" s="1"/>
  <c r="D45" i="3"/>
  <c r="D29" i="3"/>
  <c r="D16" i="3"/>
  <c r="D14" i="3"/>
  <c r="D11" i="3"/>
  <c r="C87" i="3" l="1"/>
  <c r="E88" i="3"/>
  <c r="C94" i="3"/>
  <c r="E94" i="3" s="1"/>
  <c r="D89" i="3"/>
  <c r="D88" i="3" s="1"/>
  <c r="G161" i="7"/>
  <c r="G160" i="7" s="1"/>
  <c r="C129" i="3"/>
  <c r="C128" i="3" s="1"/>
  <c r="C76" i="3"/>
  <c r="C72" i="3" s="1"/>
  <c r="G90" i="7"/>
  <c r="G87" i="7" s="1"/>
  <c r="G110" i="7" s="1"/>
  <c r="C48" i="3"/>
  <c r="C47" i="3" s="1"/>
  <c r="F90" i="7"/>
  <c r="F87" i="7" s="1"/>
  <c r="C44" i="3"/>
  <c r="D44" i="3"/>
  <c r="H82" i="7" s="1"/>
  <c r="C10" i="3"/>
  <c r="D10" i="3"/>
  <c r="D116" i="3"/>
  <c r="C116" i="3"/>
  <c r="C18" i="3"/>
  <c r="D129" i="3"/>
  <c r="D18" i="3"/>
  <c r="C71" i="3" l="1"/>
  <c r="E71" i="3" s="1"/>
  <c r="E87" i="3"/>
  <c r="C115" i="3"/>
  <c r="C114" i="3" s="1"/>
  <c r="C104" i="3" s="1"/>
  <c r="E104" i="3" s="1"/>
  <c r="D87" i="3"/>
  <c r="G159" i="7"/>
  <c r="G166" i="7"/>
  <c r="D9" i="3"/>
  <c r="F110" i="7"/>
  <c r="C9" i="3"/>
  <c r="C8" i="3" s="1"/>
  <c r="I82" i="7"/>
  <c r="D128" i="3"/>
  <c r="E128" i="3" s="1"/>
  <c r="E129" i="3"/>
  <c r="E116" i="3"/>
  <c r="E117" i="3"/>
  <c r="C93" i="3"/>
  <c r="E18" i="3"/>
  <c r="F7" i="11"/>
  <c r="G254" i="10" l="1"/>
  <c r="I166" i="7"/>
  <c r="H166" i="7"/>
  <c r="I159" i="7"/>
  <c r="H159" i="7"/>
  <c r="C92" i="3"/>
  <c r="E93" i="3"/>
  <c r="C7" i="3"/>
  <c r="C6" i="3" s="1"/>
  <c r="D115" i="3"/>
  <c r="D114" i="3" s="1"/>
  <c r="H87" i="7"/>
  <c r="F250" i="10"/>
  <c r="F251" i="10" s="1"/>
  <c r="I23" i="11"/>
  <c r="H24" i="11"/>
  <c r="I24" i="11"/>
  <c r="H25" i="11"/>
  <c r="G32" i="11" l="1"/>
  <c r="G250" i="10"/>
  <c r="H20" i="11"/>
  <c r="I20" i="11"/>
  <c r="F12" i="11"/>
  <c r="G14" i="11"/>
  <c r="G13" i="11" s="1"/>
  <c r="E14" i="11"/>
  <c r="G9" i="11"/>
  <c r="E9" i="11"/>
  <c r="E8" i="11" s="1"/>
  <c r="E7" i="11" s="1"/>
  <c r="E9" i="7"/>
  <c r="E6" i="7" s="1"/>
  <c r="E14" i="7" s="1"/>
  <c r="G54" i="7" l="1"/>
  <c r="I32" i="11"/>
  <c r="H32" i="11"/>
  <c r="G53" i="7"/>
  <c r="H53" i="7" s="1"/>
  <c r="G46" i="7"/>
  <c r="G12" i="11"/>
  <c r="E13" i="11"/>
  <c r="G8" i="11"/>
  <c r="G7" i="11" s="1"/>
  <c r="E134" i="7"/>
  <c r="F136" i="7"/>
  <c r="F134" i="7"/>
  <c r="E136" i="7"/>
  <c r="F133" i="7" l="1"/>
  <c r="F140" i="7" s="1"/>
  <c r="F44" i="7" s="1"/>
  <c r="E133" i="7"/>
  <c r="E12" i="11"/>
  <c r="G136" i="7"/>
  <c r="G134" i="7"/>
  <c r="G51" i="7"/>
  <c r="G45" i="7" s="1"/>
  <c r="G86" i="7" s="1"/>
  <c r="E51" i="7"/>
  <c r="E16" i="7"/>
  <c r="E15" i="7" s="1"/>
  <c r="E18" i="7" s="1"/>
  <c r="F158" i="7"/>
  <c r="E158" i="7"/>
  <c r="E149" i="7" l="1"/>
  <c r="G14" i="1" s="1"/>
  <c r="E140" i="7"/>
  <c r="E258" i="10" s="1"/>
  <c r="D72" i="3"/>
  <c r="D71" i="3" s="1"/>
  <c r="F149" i="7"/>
  <c r="F167" i="7" s="1"/>
  <c r="F246" i="10"/>
  <c r="G133" i="7"/>
  <c r="E45" i="7"/>
  <c r="E86" i="7" s="1"/>
  <c r="E246" i="10" s="1"/>
  <c r="F258" i="10"/>
  <c r="D8" i="3"/>
  <c r="E10" i="3"/>
  <c r="E9" i="3"/>
  <c r="G140" i="7" l="1"/>
  <c r="H133" i="7"/>
  <c r="I133" i="7"/>
  <c r="I13" i="1"/>
  <c r="H13" i="1"/>
  <c r="H14" i="1"/>
  <c r="I15" i="1"/>
  <c r="E274" i="10"/>
  <c r="E44" i="7"/>
  <c r="F247" i="10"/>
  <c r="F278" i="10" s="1"/>
  <c r="F274" i="10"/>
  <c r="E115" i="3"/>
  <c r="D47" i="3"/>
  <c r="I45" i="7"/>
  <c r="H45" i="7"/>
  <c r="I53" i="7"/>
  <c r="H150" i="7"/>
  <c r="I150" i="7"/>
  <c r="G158" i="7"/>
  <c r="E48" i="3"/>
  <c r="E47" i="3" s="1"/>
  <c r="G13" i="1" l="1"/>
  <c r="E167" i="7"/>
  <c r="H140" i="7"/>
  <c r="I140" i="7"/>
  <c r="H15" i="1"/>
  <c r="G149" i="7"/>
  <c r="J14" i="1" s="1"/>
  <c r="G246" i="10"/>
  <c r="G44" i="7"/>
  <c r="I158" i="7"/>
  <c r="H158" i="7"/>
  <c r="I86" i="7"/>
  <c r="G6" i="7"/>
  <c r="G14" i="7" s="1"/>
  <c r="I114" i="7"/>
  <c r="H86" i="7"/>
  <c r="I110" i="7"/>
  <c r="H110" i="7"/>
  <c r="G16" i="7"/>
  <c r="G15" i="7" s="1"/>
  <c r="G18" i="7" s="1"/>
  <c r="E8" i="3"/>
  <c r="C270" i="10"/>
  <c r="D270" i="10"/>
  <c r="D269" i="10"/>
  <c r="C269" i="10"/>
  <c r="B13" i="9" l="1"/>
  <c r="B12" i="9" s="1"/>
  <c r="B11" i="9" s="1"/>
  <c r="L14" i="1"/>
  <c r="K14" i="1"/>
  <c r="G167" i="7"/>
  <c r="I167" i="7" s="1"/>
  <c r="G274" i="10"/>
  <c r="H33" i="11"/>
  <c r="I33" i="11"/>
  <c r="I149" i="7"/>
  <c r="H34" i="11"/>
  <c r="H44" i="7"/>
  <c r="G31" i="7"/>
  <c r="G30" i="7" s="1"/>
  <c r="H167" i="7" l="1"/>
  <c r="L13" i="1"/>
  <c r="K13" i="1"/>
  <c r="G245" i="10"/>
  <c r="G247" i="10" s="1"/>
  <c r="G34" i="7"/>
  <c r="G35" i="7" s="1"/>
  <c r="G5" i="7"/>
  <c r="J10" i="1" s="1"/>
  <c r="J12" i="1" s="1"/>
  <c r="H125" i="7"/>
  <c r="H15" i="7"/>
  <c r="I15" i="7"/>
  <c r="I44" i="7"/>
  <c r="E270" i="10"/>
  <c r="L15" i="1" l="1"/>
  <c r="K15" i="1"/>
  <c r="I30" i="7"/>
  <c r="G30" i="11"/>
  <c r="C281" i="10"/>
  <c r="C249" i="10"/>
  <c r="C261" i="10"/>
  <c r="F261" i="10"/>
  <c r="G261" i="10"/>
  <c r="D261" i="10"/>
  <c r="E253" i="10"/>
  <c r="E255" i="10" s="1"/>
  <c r="F253" i="10"/>
  <c r="F255" i="10" s="1"/>
  <c r="G253" i="10"/>
  <c r="D249" i="10"/>
  <c r="I34" i="7" l="1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L25" i="1" l="1"/>
  <c r="J27" i="1"/>
  <c r="I29" i="11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E257" i="10"/>
  <c r="E259" i="10" s="1"/>
  <c r="I18" i="7" l="1"/>
  <c r="H18" i="7"/>
  <c r="D92" i="3"/>
  <c r="D257" i="10"/>
  <c r="C262" i="10"/>
  <c r="C263" i="10" s="1"/>
  <c r="C258" i="10"/>
  <c r="C254" i="10"/>
  <c r="C265" i="10"/>
  <c r="C267" i="10" s="1"/>
  <c r="C246" i="10"/>
  <c r="C250" i="10"/>
  <c r="C251" i="10" s="1"/>
  <c r="D254" i="10"/>
  <c r="D250" i="10"/>
  <c r="D251" i="10" s="1"/>
  <c r="D262" i="10"/>
  <c r="D263" i="10" s="1"/>
  <c r="G263" i="10"/>
  <c r="D265" i="10"/>
  <c r="D267" i="10" s="1"/>
  <c r="D258" i="10"/>
  <c r="F263" i="10"/>
  <c r="D246" i="10"/>
  <c r="D7" i="3" l="1"/>
  <c r="D6" i="3" s="1"/>
  <c r="E92" i="3"/>
  <c r="D13" i="9"/>
  <c r="F257" i="10"/>
  <c r="F35" i="7"/>
  <c r="C13" i="9"/>
  <c r="C12" i="9" s="1"/>
  <c r="C11" i="9" s="1"/>
  <c r="E114" i="3"/>
  <c r="D259" i="10"/>
  <c r="C257" i="10"/>
  <c r="C259" i="10" s="1"/>
  <c r="C274" i="10"/>
  <c r="D253" i="10"/>
  <c r="D255" i="10" s="1"/>
  <c r="D277" i="10" s="1"/>
  <c r="D245" i="10"/>
  <c r="C253" i="10"/>
  <c r="C255" i="10" s="1"/>
  <c r="C277" i="10" s="1"/>
  <c r="D274" i="10"/>
  <c r="F273" i="10" l="1"/>
  <c r="F259" i="10"/>
  <c r="F5" i="7"/>
  <c r="E13" i="9"/>
  <c r="F13" i="9"/>
  <c r="D12" i="9"/>
  <c r="E7" i="3"/>
  <c r="D247" i="10"/>
  <c r="D278" i="10" s="1"/>
  <c r="D273" i="10"/>
  <c r="C245" i="10"/>
  <c r="C247" i="10" s="1"/>
  <c r="I10" i="1" l="1"/>
  <c r="H10" i="1"/>
  <c r="H12" i="1" s="1"/>
  <c r="F12" i="9"/>
  <c r="D11" i="9"/>
  <c r="E12" i="9"/>
  <c r="E6" i="3"/>
  <c r="C278" i="10"/>
  <c r="C273" i="10"/>
  <c r="I12" i="1" l="1"/>
  <c r="L10" i="1"/>
  <c r="F11" i="9"/>
  <c r="E11" i="9"/>
  <c r="G259" i="10"/>
  <c r="G277" i="10" s="1"/>
  <c r="L12" i="1" l="1"/>
  <c r="E31" i="7"/>
  <c r="E30" i="7" l="1"/>
  <c r="H30" i="7" s="1"/>
  <c r="E245" i="10" l="1"/>
  <c r="E34" i="7"/>
  <c r="E27" i="7"/>
  <c r="E26" i="7" s="1"/>
  <c r="H149" i="7"/>
  <c r="E5" i="7" l="1"/>
  <c r="G10" i="1" s="1"/>
  <c r="G12" i="1" s="1"/>
  <c r="E30" i="11"/>
  <c r="H22" i="7"/>
  <c r="E247" i="10"/>
  <c r="E278" i="10" s="1"/>
  <c r="H34" i="7"/>
  <c r="E261" i="10"/>
  <c r="E263" i="10" s="1"/>
  <c r="H5" i="7" l="1"/>
  <c r="K10" i="1"/>
  <c r="G25" i="1"/>
  <c r="G26" i="1" s="1"/>
  <c r="H29" i="11"/>
  <c r="K12" i="1"/>
  <c r="E11" i="11"/>
  <c r="F11" i="11"/>
  <c r="G11" i="11"/>
  <c r="E269" i="10" s="1"/>
  <c r="E280" i="10" s="1"/>
  <c r="K25" i="1" l="1"/>
  <c r="K16" i="1"/>
  <c r="E271" i="10"/>
  <c r="F280" i="10" l="1"/>
  <c r="G271" i="10"/>
  <c r="G280" i="10"/>
  <c r="I25" i="7" l="1"/>
  <c r="I5" i="7"/>
  <c r="E35" i="7"/>
  <c r="E249" i="10"/>
  <c r="E251" i="10" s="1"/>
  <c r="E273" i="10" l="1"/>
  <c r="I35" i="7"/>
  <c r="G249" i="10"/>
  <c r="H25" i="7"/>
  <c r="G251" i="10" l="1"/>
  <c r="G273" i="10"/>
  <c r="H35" i="7"/>
</calcChain>
</file>

<file path=xl/sharedStrings.xml><?xml version="1.0" encoding="utf-8"?>
<sst xmlns="http://schemas.openxmlformats.org/spreadsheetml/2006/main" count="868" uniqueCount="318">
  <si>
    <t>Prijedlog plana za 2023.</t>
  </si>
  <si>
    <t>PRIHODI UKUPNO</t>
  </si>
  <si>
    <t>RASHODI UKUPNO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</si>
  <si>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</si>
  <si>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</si>
  <si>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</si>
  <si>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</si>
  <si>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</si>
  <si>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</si>
  <si>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</si>
  <si>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</si>
  <si>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</si>
  <si>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</si>
  <si>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</si>
  <si>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</si>
  <si>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</si>
  <si>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</si>
  <si>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</si>
  <si>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</si>
  <si>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</si>
  <si>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</si>
  <si>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</si>
  <si>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</si>
  <si>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</si>
  <si>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</si>
  <si>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</si>
  <si>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</si>
  <si>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</si>
  <si>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</si>
  <si>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</si>
  <si>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</si>
  <si>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</si>
  <si>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</si>
  <si>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</si>
  <si>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</si>
  <si>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</si>
  <si>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</si>
  <si>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</si>
  <si>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</si>
  <si>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</si>
  <si>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</si>
  <si>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</si>
  <si>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</si>
  <si>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</si>
  <si>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</si>
  <si>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</si>
  <si>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</si>
  <si>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</si>
  <si>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</si>
  <si>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</si>
  <si>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</si>
  <si>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</si>
  <si>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</si>
  <si>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</si>
  <si>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</si>
  <si>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</si>
  <si>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</si>
  <si>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</si>
  <si>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</si>
  <si>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</si>
  <si>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</si>
  <si>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</si>
  <si>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</si>
  <si>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</si>
  <si>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</si>
  <si>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</si>
  <si>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</si>
  <si>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</si>
  <si>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</si>
  <si>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</si>
  <si>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</si>
  <si>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</si>
  <si>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</si>
  <si>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</si>
  <si>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</si>
  <si>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</si>
  <si>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</si>
  <si>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</si>
  <si>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</si>
  <si>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</si>
  <si>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</si>
  <si>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</si>
  <si>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</si>
  <si>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</si>
  <si>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</si>
  <si>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</si>
  <si>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</si>
  <si>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</si>
  <si>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</si>
  <si>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</si>
  <si>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</si>
  <si>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</si>
  <si>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</si>
  <si>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</si>
  <si>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</si>
  <si>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</si>
  <si>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</si>
  <si>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</si>
  <si>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</si>
  <si>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</si>
  <si>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</si>
  <si>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</si>
  <si>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</si>
  <si>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</si>
  <si>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</si>
  <si>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</si>
  <si>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</si>
  <si>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</si>
  <si>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</si>
  <si>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</si>
  <si>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</si>
  <si>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</si>
  <si>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</si>
  <si>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</si>
  <si>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</si>
  <si>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</si>
  <si>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</si>
  <si>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</si>
  <si>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</si>
  <si>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</si>
  <si>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</si>
  <si>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</si>
  <si>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</si>
  <si>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</si>
  <si>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</si>
  <si>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</si>
  <si>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</si>
  <si>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</si>
  <si>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</si>
  <si>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</si>
  <si>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</si>
  <si>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</si>
  <si>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</si>
  <si>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</si>
  <si>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</si>
  <si>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</si>
  <si>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</si>
  <si>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</si>
  <si>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</si>
  <si>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</si>
  <si>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</si>
  <si>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</si>
  <si>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</si>
  <si>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</si>
  <si>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</si>
  <si>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</si>
  <si>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</si>
  <si>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</si>
  <si>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</si>
  <si>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</si>
  <si>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</si>
  <si>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</si>
  <si>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</si>
  <si>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</si>
  <si>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</si>
  <si>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</si>
  <si>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</si>
  <si>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</si>
  <si>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</si>
  <si>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</si>
  <si>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</si>
  <si>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</si>
  <si>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</si>
  <si>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</si>
  <si>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</si>
  <si>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</si>
  <si>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</si>
  <si>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</si>
  <si>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</si>
  <si>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</si>
  <si>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</si>
  <si>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</si>
  <si>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</si>
  <si>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</si>
  <si>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</si>
  <si>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</si>
  <si>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</si>
  <si>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</si>
  <si>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</si>
  <si>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</si>
  <si>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</si>
  <si>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</si>
  <si>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</si>
  <si>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</si>
  <si>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</si>
  <si>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</si>
  <si>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</si>
  <si>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</si>
  <si>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</si>
  <si>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</si>
  <si>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</si>
  <si>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</si>
  <si>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</si>
  <si>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</si>
  <si>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</si>
  <si>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</si>
  <si>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</si>
  <si>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Bankarske usluge i usluge platnog prometa</t>
  </si>
  <si>
    <t xml:space="preserve">Naknade troškova osobama izvan radnog odnosa </t>
  </si>
  <si>
    <t>4222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</si>
  <si>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</si>
  <si>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</si>
  <si>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</si>
  <si>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</si>
  <si>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</si>
  <si>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</si>
  <si>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</si>
  <si>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</si>
  <si>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</si>
  <si>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</si>
  <si>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</si>
  <si>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</si>
  <si>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</si>
  <si>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</si>
  <si>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</si>
  <si>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</si>
  <si>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</si>
  <si>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</si>
  <si>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</si>
  <si>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</si>
  <si>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</si>
  <si>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</si>
  <si>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</si>
  <si>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</si>
  <si>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</si>
  <si>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</si>
  <si>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</si>
  <si>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</si>
  <si>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</si>
  <si>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922</t>
  </si>
  <si>
    <t>PRIJENOS SREDSTAVA IZ PRETHODNE GODINE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</si>
  <si>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</si>
  <si>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</si>
  <si>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</si>
  <si>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</si>
  <si>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</si>
  <si>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</si>
  <si>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</si>
  <si>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</si>
  <si>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</si>
  <si>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</si>
  <si>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</si>
  <si>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</si>
  <si>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</si>
  <si>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</si>
  <si>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</si>
  <si>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</si>
  <si>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</si>
  <si>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</si>
  <si>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</si>
  <si>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</si>
  <si>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</si>
  <si>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</si>
  <si>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</si>
  <si>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</si>
  <si>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</si>
  <si>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</si>
  <si>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</si>
  <si>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</si>
  <si>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</si>
  <si>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</si>
  <si>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</si>
  <si>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</si>
  <si>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</si>
  <si>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Oprema za održavanje i zaštitu</t>
  </si>
  <si>
    <t>Usluge promidžbe i informiranja</t>
  </si>
  <si>
    <t>Članarine i norme</t>
  </si>
  <si>
    <t>Ulaganja u računalne programe</t>
  </si>
  <si>
    <t xml:space="preserve">082 Službe kulture </t>
  </si>
  <si>
    <t>08 Rekreacija, kultura i religija</t>
  </si>
  <si>
    <t>4223</t>
  </si>
  <si>
    <t>Troškovi sudskih postupaka</t>
  </si>
  <si>
    <t>Zatezne kamate</t>
  </si>
  <si>
    <t>324</t>
  </si>
  <si>
    <t>424</t>
  </si>
  <si>
    <t>Knjige</t>
  </si>
  <si>
    <t>4241</t>
  </si>
  <si>
    <t>Ostala komunikacijska oprema</t>
  </si>
  <si>
    <t>323</t>
  </si>
  <si>
    <t>Grafičke i tiskarske usluge. usluge kopiranja i uvezivanja i slično</t>
  </si>
  <si>
    <t>32</t>
  </si>
  <si>
    <t>3237</t>
  </si>
  <si>
    <t>Negativne tečajne razlike i razlike</t>
  </si>
  <si>
    <t>Negativne tečajne razlike</t>
  </si>
  <si>
    <t>Naknade troškova osobama izvan radnog odnosa</t>
  </si>
  <si>
    <t>Kamate na depozite po viđenju</t>
  </si>
  <si>
    <t>66</t>
  </si>
  <si>
    <t>Prihodi od pozitivnih tečajnih razlika</t>
  </si>
  <si>
    <t>3214</t>
  </si>
  <si>
    <t>Naknada za korištenje priv.automobila u sl.svrhe</t>
  </si>
  <si>
    <t>Zdravstene i veterinarske usluge</t>
  </si>
  <si>
    <t>SAŽETAK  RAČUNA PRIHODA I RASHODA I RAČUNA FINANCIRANJA</t>
  </si>
  <si>
    <t>SAŽETAK RAČUNA PRIHODA I RASHODA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</si>
  <si>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</si>
  <si>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</si>
  <si>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</si>
  <si>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</si>
  <si>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</si>
  <si>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</si>
  <si>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3 RASHODI  POSLOVANJA</t>
  </si>
  <si>
    <t>4 RASHODI ZA NABAVU NEFINANCIJSKE IMOVINE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</si>
  <si>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</si>
  <si>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</si>
  <si>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</si>
  <si>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</si>
  <si>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</si>
  <si>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</si>
  <si>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 xml:space="preserve">NETO FINANCIRANJE </t>
  </si>
  <si>
    <t xml:space="preserve">VIŠAK/MANJAK + NETO FINANCIRANJE </t>
  </si>
  <si>
    <t>TEKUĆI PLAN 2024.</t>
  </si>
  <si>
    <t>IZVORNI PLAN ILI REBALANS 2024.</t>
  </si>
  <si>
    <t>GODIŠNJI IZVJEŠTAJ O IZVRŠENJU FINANCIJSKOG PLANA ZA 2024.g.</t>
  </si>
  <si>
    <t>Izvršenje 
2024.</t>
  </si>
  <si>
    <t>Izvršenje 
2023.</t>
  </si>
  <si>
    <t>IZVRŠENJE FINANCIJSKOG PLANA ZA 2024. GODINU</t>
  </si>
  <si>
    <t>OSTVARENJE/IZVRŠENJE 
2023.</t>
  </si>
  <si>
    <t xml:space="preserve">OSTVARENJE/IZVRŠENJE 
2024. </t>
  </si>
  <si>
    <t xml:space="preserve">OSTVARENJE/IZVRŠENJE 
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</si>
</sst>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9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516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3" fontId="11" fillId="6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6" borderId="4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 wrapText="1"/>
    </xf>
    <xf numFmtId="3" fontId="12" fillId="0" borderId="11" xfId="2" applyNumberFormat="1" applyFont="1" applyBorder="1" applyAlignment="1">
      <alignment horizontal="right" vertical="center"/>
    </xf>
    <xf numFmtId="3" fontId="12" fillId="0" borderId="12" xfId="2" applyNumberFormat="1" applyFont="1" applyBorder="1" applyAlignment="1">
      <alignment horizontal="right" vertical="center"/>
    </xf>
    <xf numFmtId="0" fontId="19" fillId="0" borderId="13" xfId="2" applyFont="1" applyBorder="1" applyAlignment="1">
      <alignment horizontal="center" vertical="center"/>
    </xf>
    <xf numFmtId="0" fontId="19" fillId="0" borderId="14" xfId="2" applyFont="1" applyBorder="1" applyAlignment="1">
      <alignment horizontal="left" vertical="center" wrapText="1"/>
    </xf>
    <xf numFmtId="3" fontId="19" fillId="0" borderId="14" xfId="2" applyNumberFormat="1" applyFont="1" applyBorder="1" applyAlignment="1">
      <alignment vertical="center"/>
    </xf>
    <xf numFmtId="3" fontId="19" fillId="0" borderId="15" xfId="2" applyNumberFormat="1" applyFont="1" applyBorder="1" applyAlignment="1">
      <alignment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3" fontId="19" fillId="0" borderId="17" xfId="2" applyNumberFormat="1" applyFont="1" applyBorder="1" applyAlignment="1">
      <alignment vertical="center"/>
    </xf>
    <xf numFmtId="3" fontId="19" fillId="0" borderId="18" xfId="2" applyNumberFormat="1" applyFont="1" applyBorder="1" applyAlignment="1">
      <alignment vertical="center"/>
    </xf>
    <xf numFmtId="49" fontId="12" fillId="0" borderId="5" xfId="2" quotePrefix="1" applyNumberFormat="1" applyFont="1" applyBorder="1" applyAlignment="1">
      <alignment horizontal="left"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3" fontId="12" fillId="0" borderId="14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8" fillId="0" borderId="0" xfId="2" applyFont="1" applyAlignment="1">
      <alignment horizontal="center"/>
    </xf>
    <xf numFmtId="3" fontId="12" fillId="0" borderId="0" xfId="2" applyNumberFormat="1" applyFont="1"/>
    <xf numFmtId="3" fontId="8" fillId="0" borderId="3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14" xfId="2" applyNumberFormat="1" applyFont="1" applyBorder="1" applyAlignment="1">
      <alignment horizontal="right" vertical="center"/>
    </xf>
    <xf numFmtId="3" fontId="19" fillId="0" borderId="15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17" xfId="2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2" fillId="0" borderId="5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5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8" fillId="0" borderId="0" xfId="2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13" xfId="2" applyFont="1" applyBorder="1" applyAlignment="1">
      <alignment horizontal="center"/>
    </xf>
    <xf numFmtId="0" fontId="19" fillId="0" borderId="13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5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/>
    </xf>
    <xf numFmtId="3" fontId="12" fillId="0" borderId="20" xfId="2" applyNumberFormat="1" applyFont="1" applyBorder="1" applyAlignment="1">
      <alignment horizontal="right"/>
    </xf>
    <xf numFmtId="3" fontId="12" fillId="0" borderId="11" xfId="2" applyNumberFormat="1" applyFont="1" applyBorder="1" applyAlignment="1">
      <alignment horizontal="right"/>
    </xf>
    <xf numFmtId="3" fontId="18" fillId="0" borderId="14" xfId="2" applyNumberFormat="1" applyFont="1" applyBorder="1"/>
    <xf numFmtId="0" fontId="12" fillId="0" borderId="14" xfId="3" applyFont="1" applyBorder="1" applyAlignment="1">
      <alignment horizontal="left" vertical="center" wrapText="1"/>
    </xf>
    <xf numFmtId="3" fontId="18" fillId="0" borderId="15" xfId="2" applyNumberFormat="1" applyFont="1" applyBorder="1" applyAlignment="1">
      <alignment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left" vertical="center" wrapText="1"/>
    </xf>
    <xf numFmtId="3" fontId="18" fillId="0" borderId="14" xfId="2" applyNumberFormat="1" applyFont="1" applyBorder="1" applyAlignment="1">
      <alignment horizontal="right"/>
    </xf>
    <xf numFmtId="3" fontId="18" fillId="0" borderId="21" xfId="2" applyNumberFormat="1" applyFont="1" applyBorder="1"/>
    <xf numFmtId="3" fontId="18" fillId="0" borderId="22" xfId="2" applyNumberFormat="1" applyFont="1" applyBorder="1"/>
    <xf numFmtId="3" fontId="18" fillId="0" borderId="15" xfId="2" applyNumberFormat="1" applyFont="1" applyBorder="1"/>
    <xf numFmtId="3" fontId="12" fillId="0" borderId="14" xfId="2" applyNumberFormat="1" applyFont="1" applyBorder="1" applyAlignment="1">
      <alignment horizontal="right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17" xfId="2" applyNumberFormat="1" applyFont="1" applyBorder="1" applyAlignment="1">
      <alignment horizontal="right"/>
    </xf>
    <xf numFmtId="3" fontId="18" fillId="0" borderId="17" xfId="2" applyNumberFormat="1" applyFont="1" applyBorder="1"/>
    <xf numFmtId="3" fontId="18" fillId="0" borderId="17" xfId="2" applyNumberFormat="1" applyFont="1" applyBorder="1" applyAlignment="1">
      <alignment horizontal="right" vertical="center"/>
    </xf>
    <xf numFmtId="3" fontId="18" fillId="0" borderId="18" xfId="2" applyNumberFormat="1" applyFont="1" applyBorder="1"/>
    <xf numFmtId="3" fontId="12" fillId="0" borderId="19" xfId="2" quotePrefix="1" applyNumberFormat="1" applyFont="1" applyBorder="1" applyAlignment="1">
      <alignment horizontal="center" vertical="center"/>
    </xf>
    <xf numFmtId="3" fontId="18" fillId="0" borderId="14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19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25" xfId="2" quotePrefix="1" applyNumberFormat="1" applyFont="1" applyBorder="1" applyAlignment="1">
      <alignment horizontal="center" vertical="center"/>
    </xf>
    <xf numFmtId="3" fontId="12" fillId="0" borderId="8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8" fillId="0" borderId="0" xfId="2" applyNumberFormat="1" applyFont="1" applyAlignment="1">
      <alignment horizontal="center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12" fillId="3" borderId="0" xfId="2" quotePrefix="1" applyNumberFormat="1" applyFont="1" applyFill="1" applyAlignment="1">
      <alignment horizontal="center" vertical="center"/>
    </xf>
    <xf numFmtId="3" fontId="12" fillId="3" borderId="0" xfId="2" applyNumberFormat="1" applyFont="1" applyFill="1" applyAlignment="1">
      <alignment vertical="center"/>
    </xf>
    <xf numFmtId="3" fontId="18" fillId="3" borderId="0" xfId="2" applyNumberFormat="1" applyFont="1" applyFill="1"/>
    <xf numFmtId="0" fontId="18" fillId="3" borderId="0" xfId="2" applyFont="1" applyFill="1" applyAlignment="1">
      <alignment horizontal="center"/>
    </xf>
    <xf numFmtId="3" fontId="8" fillId="3" borderId="4" xfId="2" applyNumberFormat="1" applyFont="1" applyFill="1" applyBorder="1" applyAlignment="1">
      <alignment horizontal="center" vertical="center" wrapText="1"/>
    </xf>
    <xf numFmtId="3" fontId="8" fillId="3" borderId="2" xfId="2" applyNumberFormat="1" applyFont="1" applyFill="1" applyBorder="1" applyAlignment="1">
      <alignment horizontal="center" vertical="center"/>
    </xf>
    <xf numFmtId="49" fontId="8" fillId="3" borderId="4" xfId="2" applyNumberFormat="1" applyFont="1" applyFill="1" applyBorder="1" applyAlignment="1">
      <alignment horizontal="center" vertical="center"/>
    </xf>
    <xf numFmtId="49" fontId="12" fillId="3" borderId="27" xfId="2" applyNumberFormat="1" applyFont="1" applyFill="1" applyBorder="1" applyAlignment="1">
      <alignment horizontal="center" vertical="center"/>
    </xf>
    <xf numFmtId="49" fontId="12" fillId="3" borderId="28" xfId="2" applyNumberFormat="1" applyFont="1" applyFill="1" applyBorder="1" applyAlignment="1">
      <alignment vertical="center"/>
    </xf>
    <xf numFmtId="49" fontId="18" fillId="3" borderId="29" xfId="2" applyNumberFormat="1" applyFont="1" applyFill="1" applyBorder="1" applyAlignment="1">
      <alignment vertical="center"/>
    </xf>
    <xf numFmtId="49" fontId="18" fillId="3" borderId="30" xfId="2" applyNumberFormat="1" applyFont="1" applyFill="1" applyBorder="1" applyAlignment="1">
      <alignment vertical="center"/>
    </xf>
    <xf numFmtId="49" fontId="18" fillId="3" borderId="31" xfId="2" applyNumberFormat="1" applyFont="1" applyFill="1" applyBorder="1" applyAlignment="1">
      <alignment vertical="center"/>
    </xf>
    <xf numFmtId="49" fontId="18" fillId="3" borderId="32" xfId="2" applyNumberFormat="1" applyFont="1" applyFill="1" applyBorder="1" applyAlignment="1">
      <alignment vertical="center"/>
    </xf>
    <xf numFmtId="49" fontId="18" fillId="3" borderId="16" xfId="2" applyNumberFormat="1" applyFont="1" applyFill="1" applyBorder="1" applyAlignment="1">
      <alignment vertical="center"/>
    </xf>
    <xf numFmtId="3" fontId="18" fillId="3" borderId="21" xfId="2" applyNumberFormat="1" applyFont="1" applyFill="1" applyBorder="1" applyAlignment="1">
      <alignment horizontal="right" vertical="center"/>
    </xf>
    <xf numFmtId="3" fontId="18" fillId="3" borderId="22" xfId="2" applyNumberFormat="1" applyFont="1" applyFill="1" applyBorder="1" applyAlignment="1">
      <alignment horizontal="right" vertical="center"/>
    </xf>
    <xf numFmtId="3" fontId="12" fillId="3" borderId="27" xfId="2" applyNumberFormat="1" applyFont="1" applyFill="1" applyBorder="1" applyAlignment="1">
      <alignment horizontal="right" vertical="center"/>
    </xf>
    <xf numFmtId="3" fontId="12" fillId="3" borderId="35" xfId="2" applyNumberFormat="1" applyFont="1" applyFill="1" applyBorder="1" applyAlignment="1">
      <alignment horizontal="right" vertical="center"/>
    </xf>
    <xf numFmtId="3" fontId="12" fillId="3" borderId="36" xfId="2" applyNumberFormat="1" applyFont="1" applyFill="1" applyBorder="1" applyAlignment="1">
      <alignment horizontal="right" vertical="center"/>
    </xf>
    <xf numFmtId="3" fontId="19" fillId="3" borderId="35" xfId="2" applyNumberFormat="1" applyFont="1" applyFill="1" applyBorder="1" applyAlignment="1">
      <alignment horizontal="right"/>
    </xf>
    <xf numFmtId="3" fontId="19" fillId="3" borderId="36" xfId="2" applyNumberFormat="1" applyFont="1" applyFill="1" applyBorder="1" applyAlignment="1">
      <alignment horizontal="right"/>
    </xf>
    <xf numFmtId="3" fontId="19" fillId="3" borderId="35" xfId="2" applyNumberFormat="1" applyFont="1" applyFill="1" applyBorder="1" applyAlignment="1">
      <alignment horizontal="right" vertical="center"/>
    </xf>
    <xf numFmtId="3" fontId="19" fillId="3" borderId="36" xfId="2" applyNumberFormat="1" applyFont="1" applyFill="1" applyBorder="1" applyAlignment="1">
      <alignment horizontal="right" vertical="center"/>
    </xf>
    <xf numFmtId="3" fontId="12" fillId="3" borderId="27" xfId="2" applyNumberFormat="1" applyFont="1" applyFill="1" applyBorder="1" applyAlignment="1">
      <alignment horizontal="right"/>
    </xf>
    <xf numFmtId="3" fontId="12" fillId="3" borderId="35" xfId="2" applyNumberFormat="1" applyFont="1" applyFill="1" applyBorder="1" applyAlignment="1">
      <alignment horizontal="right"/>
    </xf>
    <xf numFmtId="3" fontId="12" fillId="3" borderId="36" xfId="2" applyNumberFormat="1" applyFont="1" applyFill="1" applyBorder="1" applyAlignment="1">
      <alignment horizontal="right"/>
    </xf>
    <xf numFmtId="3" fontId="18" fillId="3" borderId="16" xfId="2" applyNumberFormat="1" applyFont="1" applyFill="1" applyBorder="1" applyAlignment="1">
      <alignment horizontal="right" vertical="center"/>
    </xf>
    <xf numFmtId="3" fontId="18" fillId="3" borderId="17" xfId="2" applyNumberFormat="1" applyFont="1" applyFill="1" applyBorder="1" applyAlignment="1">
      <alignment horizontal="right" vertical="center"/>
    </xf>
    <xf numFmtId="3" fontId="12" fillId="3" borderId="14" xfId="2" applyNumberFormat="1" applyFont="1" applyFill="1" applyBorder="1" applyAlignment="1">
      <alignment horizontal="right"/>
    </xf>
    <xf numFmtId="3" fontId="12" fillId="3" borderId="15" xfId="2" applyNumberFormat="1" applyFont="1" applyFill="1" applyBorder="1" applyAlignment="1">
      <alignment horizontal="right"/>
    </xf>
    <xf numFmtId="3" fontId="12" fillId="3" borderId="17" xfId="2" applyNumberFormat="1" applyFont="1" applyFill="1" applyBorder="1" applyAlignment="1">
      <alignment horizontal="right"/>
    </xf>
    <xf numFmtId="0" fontId="12" fillId="3" borderId="17" xfId="2" applyFont="1" applyFill="1" applyBorder="1" applyAlignment="1">
      <alignment horizontal="right"/>
    </xf>
    <xf numFmtId="3" fontId="12" fillId="3" borderId="18" xfId="2" applyNumberFormat="1" applyFont="1" applyFill="1" applyBorder="1" applyAlignment="1">
      <alignment horizontal="right"/>
    </xf>
    <xf numFmtId="3" fontId="12" fillId="3" borderId="21" xfId="2" applyNumberFormat="1" applyFont="1" applyFill="1" applyBorder="1" applyAlignment="1">
      <alignment horizontal="right" vertical="center"/>
    </xf>
    <xf numFmtId="3" fontId="12" fillId="3" borderId="22" xfId="2" applyNumberFormat="1" applyFont="1" applyFill="1" applyBorder="1" applyAlignment="1">
      <alignment horizontal="right" vertical="center"/>
    </xf>
    <xf numFmtId="3" fontId="18" fillId="0" borderId="33" xfId="2" applyNumberFormat="1" applyFont="1" applyBorder="1" applyAlignment="1">
      <alignment horizontal="right"/>
    </xf>
    <xf numFmtId="0" fontId="18" fillId="0" borderId="33" xfId="2" applyFont="1" applyBorder="1" applyAlignment="1">
      <alignment horizontal="right"/>
    </xf>
    <xf numFmtId="3" fontId="18" fillId="0" borderId="34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3" borderId="26" xfId="2" applyNumberFormat="1" applyFont="1" applyFill="1" applyBorder="1" applyAlignment="1">
      <alignment vertical="center"/>
    </xf>
    <xf numFmtId="3" fontId="19" fillId="3" borderId="38" xfId="2" applyNumberFormat="1" applyFont="1" applyFill="1" applyBorder="1"/>
    <xf numFmtId="0" fontId="19" fillId="3" borderId="39" xfId="2" applyFont="1" applyFill="1" applyBorder="1" applyAlignment="1">
      <alignment horizontal="center" vertical="center"/>
    </xf>
    <xf numFmtId="3" fontId="19" fillId="3" borderId="40" xfId="2" applyNumberFormat="1" applyFont="1" applyFill="1" applyBorder="1" applyAlignment="1">
      <alignment vertical="center"/>
    </xf>
    <xf numFmtId="3" fontId="19" fillId="3" borderId="9" xfId="2" applyNumberFormat="1" applyFont="1" applyFill="1" applyBorder="1" applyAlignment="1">
      <alignment vertical="center"/>
    </xf>
    <xf numFmtId="3" fontId="12" fillId="3" borderId="21" xfId="2" applyNumberFormat="1" applyFont="1" applyFill="1" applyBorder="1" applyAlignment="1">
      <alignment horizontal="right"/>
    </xf>
    <xf numFmtId="3" fontId="12" fillId="3" borderId="22" xfId="2" applyNumberFormat="1" applyFont="1" applyFill="1" applyBorder="1" applyAlignment="1">
      <alignment horizontal="right"/>
    </xf>
    <xf numFmtId="3" fontId="18" fillId="3" borderId="10" xfId="2" applyNumberFormat="1" applyFont="1" applyFill="1" applyBorder="1" applyAlignment="1">
      <alignment horizontal="right" vertical="center"/>
    </xf>
    <xf numFmtId="3" fontId="18" fillId="3" borderId="11" xfId="2" applyNumberFormat="1" applyFont="1" applyFill="1" applyBorder="1" applyAlignment="1">
      <alignment horizontal="right" vertical="center"/>
    </xf>
    <xf numFmtId="3" fontId="18" fillId="3" borderId="12" xfId="2" applyNumberFormat="1" applyFont="1" applyFill="1" applyBorder="1" applyAlignment="1">
      <alignment horizontal="right" vertical="center"/>
    </xf>
    <xf numFmtId="0" fontId="19" fillId="3" borderId="35" xfId="2" applyFont="1" applyFill="1" applyBorder="1" applyAlignment="1">
      <alignment horizontal="right"/>
    </xf>
    <xf numFmtId="3" fontId="18" fillId="3" borderId="33" xfId="2" applyNumberFormat="1" applyFont="1" applyFill="1" applyBorder="1" applyAlignment="1">
      <alignment horizontal="right" vertical="center"/>
    </xf>
    <xf numFmtId="0" fontId="19" fillId="3" borderId="35" xfId="2" applyFont="1" applyFill="1" applyBorder="1" applyAlignment="1">
      <alignment horizontal="right" vertical="center"/>
    </xf>
    <xf numFmtId="3" fontId="18" fillId="3" borderId="34" xfId="2" applyNumberFormat="1" applyFont="1" applyFill="1" applyBorder="1" applyAlignment="1">
      <alignment horizontal="right" vertical="center"/>
    </xf>
    <xf numFmtId="3" fontId="18" fillId="3" borderId="41" xfId="2" applyNumberFormat="1" applyFont="1" applyFill="1" applyBorder="1" applyAlignment="1">
      <alignment horizontal="right" vertical="center"/>
    </xf>
    <xf numFmtId="3" fontId="12" fillId="3" borderId="42" xfId="2" applyNumberFormat="1" applyFont="1" applyFill="1" applyBorder="1" applyAlignment="1">
      <alignment horizontal="right"/>
    </xf>
    <xf numFmtId="3" fontId="18" fillId="3" borderId="43" xfId="2" applyNumberFormat="1" applyFont="1" applyFill="1" applyBorder="1" applyAlignment="1">
      <alignment horizontal="right" vertical="center"/>
    </xf>
    <xf numFmtId="0" fontId="19" fillId="3" borderId="42" xfId="2" applyFont="1" applyFill="1" applyBorder="1" applyAlignment="1">
      <alignment horizontal="right" vertical="center"/>
    </xf>
    <xf numFmtId="0" fontId="19" fillId="3" borderId="42" xfId="2" applyFont="1" applyFill="1" applyBorder="1" applyAlignment="1">
      <alignment horizontal="right"/>
    </xf>
    <xf numFmtId="49" fontId="18" fillId="3" borderId="18" xfId="2" applyNumberFormat="1" applyFont="1" applyFill="1" applyBorder="1" applyAlignment="1">
      <alignment vertical="center"/>
    </xf>
    <xf numFmtId="49" fontId="12" fillId="3" borderId="36" xfId="2" applyNumberFormat="1" applyFont="1" applyFill="1" applyBorder="1" applyAlignment="1">
      <alignment horizontal="left" vertical="center" wrapText="1"/>
    </xf>
    <xf numFmtId="49" fontId="18" fillId="3" borderId="22" xfId="2" applyNumberFormat="1" applyFont="1" applyFill="1" applyBorder="1" applyAlignment="1">
      <alignment vertical="center"/>
    </xf>
    <xf numFmtId="49" fontId="12" fillId="3" borderId="36" xfId="2" applyNumberFormat="1" applyFont="1" applyFill="1" applyBorder="1" applyAlignment="1">
      <alignment vertical="center"/>
    </xf>
    <xf numFmtId="49" fontId="18" fillId="3" borderId="34" xfId="2" applyNumberFormat="1" applyFont="1" applyFill="1" applyBorder="1" applyAlignment="1">
      <alignment vertical="center"/>
    </xf>
    <xf numFmtId="3" fontId="12" fillId="3" borderId="43" xfId="2" applyNumberFormat="1" applyFont="1" applyFill="1" applyBorder="1" applyAlignment="1">
      <alignment horizontal="right"/>
    </xf>
    <xf numFmtId="3" fontId="12" fillId="3" borderId="13" xfId="2" applyNumberFormat="1" applyFont="1" applyFill="1" applyBorder="1" applyAlignment="1">
      <alignment horizontal="right"/>
    </xf>
    <xf numFmtId="3" fontId="12" fillId="3" borderId="16" xfId="2" applyNumberFormat="1" applyFont="1" applyFill="1" applyBorder="1" applyAlignment="1">
      <alignment horizontal="right"/>
    </xf>
    <xf numFmtId="3" fontId="12" fillId="3" borderId="10" xfId="2" applyNumberFormat="1" applyFont="1" applyFill="1" applyBorder="1" applyAlignment="1">
      <alignment horizontal="right" vertical="center"/>
    </xf>
    <xf numFmtId="3" fontId="12" fillId="3" borderId="45" xfId="2" applyNumberFormat="1" applyFont="1" applyFill="1" applyBorder="1" applyAlignment="1">
      <alignment horizontal="right"/>
    </xf>
    <xf numFmtId="3" fontId="12" fillId="3" borderId="13" xfId="2" applyNumberFormat="1" applyFont="1" applyFill="1" applyBorder="1" applyAlignment="1">
      <alignment horizontal="right" vertical="center"/>
    </xf>
    <xf numFmtId="3" fontId="18" fillId="0" borderId="16" xfId="2" applyNumberFormat="1" applyFont="1" applyBorder="1" applyAlignment="1">
      <alignment horizontal="right"/>
    </xf>
    <xf numFmtId="0" fontId="21" fillId="0" borderId="0" xfId="0" applyFont="1"/>
    <xf numFmtId="0" fontId="8" fillId="3" borderId="0" xfId="1" applyFont="1" applyFill="1" applyAlignment="1">
      <alignment vertical="center" wrapText="1"/>
    </xf>
    <xf numFmtId="3" fontId="12" fillId="0" borderId="12" xfId="2" applyNumberFormat="1" applyFont="1" applyBorder="1" applyAlignment="1">
      <alignment horizontal="right"/>
    </xf>
    <xf numFmtId="3" fontId="12" fillId="0" borderId="46" xfId="2" applyNumberFormat="1" applyFont="1" applyBorder="1" applyAlignment="1">
      <alignment horizontal="right"/>
    </xf>
    <xf numFmtId="3" fontId="12" fillId="0" borderId="17" xfId="2" applyNumberFormat="1" applyFont="1" applyBorder="1" applyAlignment="1">
      <alignment horizontal="right"/>
    </xf>
    <xf numFmtId="3" fontId="12" fillId="0" borderId="18" xfId="2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18" fillId="0" borderId="0" xfId="0" applyFont="1"/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3" fontId="12" fillId="0" borderId="0" xfId="0" applyNumberFormat="1" applyFont="1"/>
    <xf numFmtId="0" fontId="23" fillId="0" borderId="0" xfId="0" applyFont="1"/>
    <xf numFmtId="3" fontId="18" fillId="3" borderId="7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7" fillId="0" borderId="4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6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vertical="center"/>
    </xf>
    <xf numFmtId="3" fontId="30" fillId="2" borderId="4" xfId="0" applyNumberFormat="1" applyFont="1" applyFill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/>
    </xf>
    <xf numFmtId="0" fontId="3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30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vertical="center"/>
    </xf>
    <xf numFmtId="49" fontId="30" fillId="5" borderId="4" xfId="0" applyNumberFormat="1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7" fillId="5" borderId="4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49" fontId="9" fillId="2" borderId="8" xfId="0" applyNumberFormat="1" applyFont="1" applyFill="1" applyBorder="1" applyAlignment="1">
      <alignment vertical="center"/>
    </xf>
    <xf numFmtId="3" fontId="9" fillId="5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/>
    </xf>
    <xf numFmtId="3" fontId="30" fillId="0" borderId="4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30" fillId="3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4" borderId="4" xfId="0" applyFont="1" applyFill="1" applyBorder="1" applyAlignment="1">
      <alignment horizontal="right" vertical="center"/>
    </xf>
    <xf numFmtId="49" fontId="11" fillId="6" borderId="4" xfId="0" applyNumberFormat="1" applyFont="1" applyFill="1" applyBorder="1" applyAlignment="1">
      <alignment horizontal="left" vertical="center" wrapText="1"/>
    </xf>
    <xf numFmtId="49" fontId="10" fillId="5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3" borderId="0" xfId="1" applyFont="1" applyFill="1" applyAlignment="1">
      <alignment vertical="center"/>
    </xf>
    <xf numFmtId="3" fontId="9" fillId="2" borderId="7" xfId="0" applyNumberFormat="1" applyFont="1" applyFill="1" applyBorder="1" applyAlignment="1">
      <alignment horizontal="center" vertical="center" wrapText="1"/>
    </xf>
    <xf numFmtId="0" fontId="33" fillId="3" borderId="7" xfId="1" applyFont="1" applyFill="1" applyBorder="1" applyAlignment="1">
      <alignment horizontal="center" vertical="center" wrapText="1"/>
    </xf>
    <xf numFmtId="0" fontId="34" fillId="0" borderId="0" xfId="0" applyFont="1"/>
    <xf numFmtId="0" fontId="35" fillId="3" borderId="7" xfId="1" applyFont="1" applyFill="1" applyBorder="1" applyAlignment="1">
      <alignment horizontal="center" vertical="center" wrapText="1"/>
    </xf>
    <xf numFmtId="3" fontId="27" fillId="2" borderId="7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7" xfId="7" applyNumberFormat="1" applyFont="1" applyBorder="1" applyAlignment="1">
      <alignment horizontal="left" vertical="center" wrapText="1"/>
    </xf>
    <xf numFmtId="3" fontId="33" fillId="3" borderId="7" xfId="1" applyNumberFormat="1" applyFont="1" applyFill="1" applyBorder="1" applyAlignment="1">
      <alignment horizontal="right" vertical="center"/>
    </xf>
    <xf numFmtId="0" fontId="14" fillId="0" borderId="0" xfId="0" applyFont="1"/>
    <xf numFmtId="0" fontId="38" fillId="0" borderId="0" xfId="0" applyFont="1"/>
    <xf numFmtId="0" fontId="8" fillId="3" borderId="7" xfId="6" applyFont="1" applyFill="1" applyBorder="1" applyAlignment="1">
      <alignment horizontal="center" vertical="center" wrapText="1"/>
    </xf>
    <xf numFmtId="0" fontId="37" fillId="3" borderId="7" xfId="6" applyFont="1" applyFill="1" applyBorder="1" applyAlignment="1">
      <alignment horizontal="center" vertical="center" wrapText="1"/>
    </xf>
    <xf numFmtId="0" fontId="8" fillId="3" borderId="7" xfId="6" applyFont="1" applyFill="1" applyBorder="1" applyAlignment="1">
      <alignment horizontal="left" vertical="center" wrapText="1"/>
    </xf>
    <xf numFmtId="3" fontId="8" fillId="3" borderId="7" xfId="6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0" fontId="19" fillId="3" borderId="7" xfId="6" quotePrefix="1" applyFont="1" applyFill="1" applyBorder="1" applyAlignment="1">
      <alignment horizontal="center" vertical="center"/>
    </xf>
    <xf numFmtId="0" fontId="19" fillId="3" borderId="7" xfId="6" quotePrefix="1" applyFont="1" applyFill="1" applyBorder="1" applyAlignment="1">
      <alignment horizontal="left" vertical="center"/>
    </xf>
    <xf numFmtId="0" fontId="19" fillId="3" borderId="7" xfId="6" quotePrefix="1" applyFont="1" applyFill="1" applyBorder="1" applyAlignment="1">
      <alignment horizontal="right" vertical="center"/>
    </xf>
    <xf numFmtId="0" fontId="19" fillId="3" borderId="7" xfId="6" quotePrefix="1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24" fillId="3" borderId="7" xfId="0" applyFont="1" applyFill="1" applyBorder="1"/>
    <xf numFmtId="0" fontId="8" fillId="3" borderId="7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1" fillId="3" borderId="7" xfId="0" applyFont="1" applyFill="1" applyBorder="1"/>
    <xf numFmtId="0" fontId="9" fillId="3" borderId="7" xfId="6" applyFont="1" applyFill="1" applyBorder="1" applyAlignment="1">
      <alignment horizontal="center" vertical="center" wrapText="1"/>
    </xf>
    <xf numFmtId="3" fontId="8" fillId="3" borderId="7" xfId="6" applyNumberFormat="1" applyFont="1" applyFill="1" applyBorder="1" applyAlignment="1">
      <alignment horizontal="right" vertical="center" wrapText="1"/>
    </xf>
    <xf numFmtId="3" fontId="8" fillId="3" borderId="7" xfId="0" applyNumberFormat="1" applyFont="1" applyFill="1" applyBorder="1" applyAlignment="1">
      <alignment vertical="center" wrapText="1"/>
    </xf>
    <xf numFmtId="3" fontId="18" fillId="3" borderId="7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3" fontId="18" fillId="5" borderId="7" xfId="0" applyNumberFormat="1" applyFont="1" applyFill="1" applyBorder="1" applyAlignment="1">
      <alignment horizontal="right" vertical="center"/>
    </xf>
    <xf numFmtId="3" fontId="18" fillId="3" borderId="7" xfId="6" applyNumberFormat="1" applyFont="1" applyFill="1" applyBorder="1" applyAlignment="1">
      <alignment horizontal="right" vertical="center"/>
    </xf>
    <xf numFmtId="3" fontId="19" fillId="3" borderId="7" xfId="6" quotePrefix="1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4" fillId="0" borderId="0" xfId="0" applyFont="1"/>
    <xf numFmtId="0" fontId="8" fillId="5" borderId="7" xfId="0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26" fillId="5" borderId="7" xfId="0" applyNumberFormat="1" applyFont="1" applyFill="1" applyBorder="1" applyAlignment="1">
      <alignment horizontal="center" vertical="center" wrapText="1"/>
    </xf>
    <xf numFmtId="3" fontId="27" fillId="0" borderId="7" xfId="0" applyNumberFormat="1" applyFont="1" applyBorder="1" applyAlignment="1">
      <alignment horizontal="center" vertical="center"/>
    </xf>
    <xf numFmtId="3" fontId="12" fillId="5" borderId="7" xfId="0" applyNumberFormat="1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 wrapText="1"/>
    </xf>
    <xf numFmtId="3" fontId="12" fillId="5" borderId="7" xfId="0" applyNumberFormat="1" applyFont="1" applyFill="1" applyBorder="1" applyAlignment="1">
      <alignment horizontal="right" vertical="center" wrapText="1"/>
    </xf>
    <xf numFmtId="3" fontId="12" fillId="5" borderId="7" xfId="0" applyNumberFormat="1" applyFont="1" applyFill="1" applyBorder="1" applyAlignment="1">
      <alignment horizontal="left" vertical="center" wrapText="1"/>
    </xf>
    <xf numFmtId="3" fontId="8" fillId="5" borderId="7" xfId="0" applyNumberFormat="1" applyFont="1" applyFill="1" applyBorder="1" applyAlignment="1">
      <alignment horizontal="left" vertical="center"/>
    </xf>
    <xf numFmtId="3" fontId="8" fillId="3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3" fontId="12" fillId="0" borderId="7" xfId="0" applyNumberFormat="1" applyFont="1" applyBorder="1"/>
    <xf numFmtId="0" fontId="8" fillId="0" borderId="7" xfId="0" applyFont="1" applyBorder="1" applyAlignment="1">
      <alignment horizontal="left" vertical="center" wrapText="1"/>
    </xf>
    <xf numFmtId="3" fontId="8" fillId="0" borderId="7" xfId="0" applyNumberFormat="1" applyFont="1" applyBorder="1"/>
    <xf numFmtId="0" fontId="18" fillId="0" borderId="7" xfId="0" applyFont="1" applyBorder="1" applyAlignment="1">
      <alignment horizontal="left" vertical="center" wrapText="1"/>
    </xf>
    <xf numFmtId="3" fontId="18" fillId="0" borderId="7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/>
    </xf>
    <xf numFmtId="3" fontId="12" fillId="5" borderId="7" xfId="0" applyNumberFormat="1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3" fontId="8" fillId="0" borderId="7" xfId="0" applyNumberFormat="1" applyFont="1" applyBorder="1" applyAlignment="1">
      <alignment vertical="center"/>
    </xf>
    <xf numFmtId="3" fontId="8" fillId="5" borderId="7" xfId="0" applyNumberFormat="1" applyFont="1" applyFill="1" applyBorder="1" applyAlignment="1">
      <alignment horizontal="left" vertical="center" wrapText="1"/>
    </xf>
    <xf numFmtId="3" fontId="12" fillId="3" borderId="7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21" fillId="0" borderId="48" xfId="0" applyFont="1" applyBorder="1"/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/>
    </xf>
    <xf numFmtId="3" fontId="12" fillId="6" borderId="7" xfId="0" applyNumberFormat="1" applyFont="1" applyFill="1" applyBorder="1" applyAlignment="1">
      <alignment horizontal="left" vertical="center"/>
    </xf>
    <xf numFmtId="3" fontId="12" fillId="4" borderId="7" xfId="0" applyNumberFormat="1" applyFont="1" applyFill="1" applyBorder="1" applyAlignment="1">
      <alignment vertical="center"/>
    </xf>
    <xf numFmtId="49" fontId="19" fillId="2" borderId="7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vertical="center" wrapText="1"/>
    </xf>
    <xf numFmtId="3" fontId="12" fillId="2" borderId="7" xfId="0" applyNumberFormat="1" applyFont="1" applyFill="1" applyBorder="1" applyAlignment="1">
      <alignment horizontal="left" vertical="center"/>
    </xf>
    <xf numFmtId="3" fontId="19" fillId="0" borderId="7" xfId="0" applyNumberFormat="1" applyFont="1" applyBorder="1" applyAlignment="1">
      <alignment vertical="center"/>
    </xf>
    <xf numFmtId="0" fontId="39" fillId="3" borderId="7" xfId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0" fontId="40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right" vertical="center"/>
    </xf>
    <xf numFmtId="0" fontId="10" fillId="0" borderId="4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right" vertical="center"/>
    </xf>
    <xf numFmtId="0" fontId="18" fillId="0" borderId="7" xfId="0" applyNumberFormat="1" applyFont="1" applyBorder="1" applyAlignment="1">
      <alignment horizontal="center" vertical="center"/>
    </xf>
    <xf numFmtId="0" fontId="18" fillId="5" borderId="7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right" vertical="center"/>
    </xf>
    <xf numFmtId="3" fontId="18" fillId="0" borderId="4" xfId="0" applyNumberFormat="1" applyFont="1" applyBorder="1" applyAlignment="1">
      <alignment vertical="center"/>
    </xf>
    <xf numFmtId="3" fontId="12" fillId="3" borderId="15" xfId="2" applyNumberFormat="1" applyFont="1" applyFill="1" applyBorder="1" applyAlignment="1">
      <alignment horizontal="right" vertical="center"/>
    </xf>
    <xf numFmtId="3" fontId="18" fillId="3" borderId="18" xfId="2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vertical="center"/>
    </xf>
    <xf numFmtId="0" fontId="41" fillId="0" borderId="7" xfId="0" applyFont="1" applyBorder="1" applyAlignment="1">
      <alignment horizontal="center" vertical="center"/>
    </xf>
    <xf numFmtId="0" fontId="41" fillId="0" borderId="7" xfId="0" applyFont="1" applyBorder="1" applyAlignment="1">
      <alignment horizontal="left" vertical="center" wrapText="1"/>
    </xf>
    <xf numFmtId="3" fontId="41" fillId="0" borderId="7" xfId="0" applyNumberFormat="1" applyFont="1" applyBorder="1" applyAlignment="1">
      <alignment horizontal="right" vertical="center"/>
    </xf>
    <xf numFmtId="3" fontId="42" fillId="0" borderId="0" xfId="0" applyNumberFormat="1" applyFont="1" applyAlignment="1">
      <alignment horizontal="right" vertical="center"/>
    </xf>
    <xf numFmtId="3" fontId="41" fillId="0" borderId="0" xfId="0" applyNumberFormat="1" applyFont="1" applyAlignment="1">
      <alignment horizontal="right" vertical="center"/>
    </xf>
    <xf numFmtId="3" fontId="41" fillId="0" borderId="0" xfId="0" applyNumberFormat="1" applyFont="1"/>
    <xf numFmtId="49" fontId="43" fillId="0" borderId="7" xfId="7" applyNumberFormat="1" applyFont="1" applyBorder="1" applyAlignment="1">
      <alignment horizontal="left" vertical="center" wrapText="1"/>
    </xf>
    <xf numFmtId="3" fontId="44" fillId="3" borderId="7" xfId="1" applyNumberFormat="1" applyFont="1" applyFill="1" applyBorder="1" applyAlignment="1">
      <alignment horizontal="right" vertical="center"/>
    </xf>
    <xf numFmtId="3" fontId="45" fillId="0" borderId="7" xfId="7" applyNumberFormat="1" applyFont="1" applyBorder="1" applyAlignment="1">
      <alignment horizontal="right" vertical="center"/>
    </xf>
    <xf numFmtId="3" fontId="46" fillId="3" borderId="7" xfId="1" applyNumberFormat="1" applyFont="1" applyFill="1" applyBorder="1" applyAlignment="1">
      <alignment horizontal="right" vertical="center"/>
    </xf>
    <xf numFmtId="0" fontId="48" fillId="0" borderId="0" xfId="0" applyNumberFormat="1" applyFont="1" applyFill="1" applyBorder="1" applyAlignment="1" applyProtection="1">
      <alignment vertical="center" wrapText="1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51" fillId="0" borderId="0" xfId="0" applyFont="1" applyAlignment="1">
      <alignment wrapText="1"/>
    </xf>
    <xf numFmtId="0" fontId="49" fillId="3" borderId="6" xfId="0" applyNumberFormat="1" applyFont="1" applyFill="1" applyBorder="1" applyAlignment="1" applyProtection="1">
      <alignment horizontal="center" vertical="center" wrapText="1"/>
    </xf>
    <xf numFmtId="0" fontId="47" fillId="3" borderId="6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right" vertical="center"/>
    </xf>
    <xf numFmtId="0" fontId="54" fillId="0" borderId="4" xfId="0" quotePrefix="1" applyNumberFormat="1" applyFont="1" applyFill="1" applyBorder="1" applyAlignment="1" applyProtection="1">
      <alignment horizontal="center" vertical="center" wrapText="1"/>
    </xf>
    <xf numFmtId="0" fontId="55" fillId="0" borderId="4" xfId="0" quotePrefix="1" applyNumberFormat="1" applyFont="1" applyFill="1" applyBorder="1" applyAlignment="1" applyProtection="1">
      <alignment horizontal="center" vertical="center" wrapText="1"/>
    </xf>
    <xf numFmtId="0" fontId="55" fillId="3" borderId="4" xfId="0" applyNumberFormat="1" applyFont="1" applyFill="1" applyBorder="1" applyAlignment="1" applyProtection="1">
      <alignment horizontal="center" vertical="center" wrapText="1"/>
    </xf>
    <xf numFmtId="0" fontId="56" fillId="0" borderId="4" xfId="0" applyNumberFormat="1" applyFont="1" applyFill="1" applyBorder="1" applyAlignment="1" applyProtection="1">
      <alignment vertical="center"/>
    </xf>
    <xf numFmtId="3" fontId="54" fillId="0" borderId="4" xfId="0" applyNumberFormat="1" applyFont="1" applyFill="1" applyBorder="1" applyAlignment="1">
      <alignment horizontal="right"/>
    </xf>
    <xf numFmtId="3" fontId="54" fillId="4" borderId="4" xfId="0" applyNumberFormat="1" applyFont="1" applyFill="1" applyBorder="1" applyAlignment="1">
      <alignment horizontal="right"/>
    </xf>
    <xf numFmtId="0" fontId="56" fillId="0" borderId="4" xfId="0" applyNumberFormat="1" applyFont="1" applyFill="1" applyBorder="1" applyAlignment="1" applyProtection="1">
      <alignment vertical="center" wrapText="1"/>
    </xf>
    <xf numFmtId="3" fontId="54" fillId="0" borderId="4" xfId="0" applyNumberFormat="1" applyFont="1" applyBorder="1" applyAlignment="1">
      <alignment horizontal="right"/>
    </xf>
    <xf numFmtId="0" fontId="52" fillId="4" borderId="2" xfId="0" applyFont="1" applyFill="1" applyBorder="1" applyAlignment="1">
      <alignment horizontal="left" vertical="center"/>
    </xf>
    <xf numFmtId="0" fontId="56" fillId="4" borderId="3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55" fillId="0" borderId="4" xfId="0" quotePrefix="1" applyNumberFormat="1" applyFont="1" applyFill="1" applyBorder="1" applyAlignment="1" applyProtection="1">
      <alignment horizontal="center" vertical="center"/>
    </xf>
    <xf numFmtId="0" fontId="52" fillId="0" borderId="4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3" fontId="56" fillId="4" borderId="4" xfId="0" applyNumberFormat="1" applyFont="1" applyFill="1" applyBorder="1" applyAlignment="1" applyProtection="1">
      <alignment vertical="center"/>
    </xf>
    <xf numFmtId="3" fontId="56" fillId="4" borderId="4" xfId="0" applyNumberFormat="1" applyFont="1" applyFill="1" applyBorder="1" applyAlignment="1" applyProtection="1">
      <alignment vertical="center" wrapText="1"/>
    </xf>
    <xf numFmtId="3" fontId="56" fillId="0" borderId="4" xfId="0" applyNumberFormat="1" applyFont="1" applyFill="1" applyBorder="1" applyAlignment="1" applyProtection="1">
      <alignment vertical="center" wrapText="1"/>
    </xf>
    <xf numFmtId="3" fontId="54" fillId="4" borderId="4" xfId="0" quotePrefix="1" applyNumberFormat="1" applyFont="1" applyFill="1" applyBorder="1" applyAlignment="1">
      <alignment horizontal="right" wrapText="1"/>
    </xf>
    <xf numFmtId="0" fontId="54" fillId="4" borderId="4" xfId="0" quotePrefix="1" applyFont="1" applyFill="1" applyBorder="1" applyAlignment="1">
      <alignment horizontal="right" wrapText="1"/>
    </xf>
    <xf numFmtId="0" fontId="54" fillId="4" borderId="4" xfId="0" applyNumberFormat="1" applyFont="1" applyFill="1" applyBorder="1" applyAlignment="1" applyProtection="1">
      <alignment horizontal="right" vertical="center" wrapText="1"/>
    </xf>
    <xf numFmtId="0" fontId="54" fillId="4" borderId="4" xfId="0" quotePrefix="1" applyFont="1" applyFill="1" applyBorder="1" applyAlignment="1">
      <alignment horizontal="left" vertical="center" wrapText="1"/>
    </xf>
    <xf numFmtId="0" fontId="52" fillId="0" borderId="2" xfId="0" applyNumberFormat="1" applyFont="1" applyFill="1" applyBorder="1" applyAlignment="1" applyProtection="1">
      <alignment horizontal="left" vertical="center" wrapText="1"/>
    </xf>
    <xf numFmtId="0" fontId="56" fillId="0" borderId="3" xfId="0" applyNumberFormat="1" applyFont="1" applyFill="1" applyBorder="1" applyAlignment="1" applyProtection="1">
      <alignment vertical="center" wrapText="1"/>
    </xf>
    <xf numFmtId="0" fontId="54" fillId="4" borderId="2" xfId="0" quotePrefix="1" applyFont="1" applyFill="1" applyBorder="1" applyAlignment="1">
      <alignment horizontal="left" wrapText="1"/>
    </xf>
    <xf numFmtId="0" fontId="54" fillId="4" borderId="3" xfId="0" quotePrefix="1" applyFont="1" applyFill="1" applyBorder="1" applyAlignment="1">
      <alignment horizontal="left" wrapText="1"/>
    </xf>
    <xf numFmtId="0" fontId="54" fillId="4" borderId="5" xfId="0" quotePrefix="1" applyFont="1" applyFill="1" applyBorder="1" applyAlignment="1">
      <alignment horizontal="left" wrapText="1"/>
    </xf>
    <xf numFmtId="0" fontId="49" fillId="3" borderId="26" xfId="0" applyNumberFormat="1" applyFont="1" applyFill="1" applyBorder="1" applyAlignment="1" applyProtection="1">
      <alignment horizontal="center" vertical="center" wrapText="1"/>
    </xf>
    <xf numFmtId="0" fontId="52" fillId="3" borderId="0" xfId="0" applyNumberFormat="1" applyFont="1" applyFill="1" applyBorder="1" applyAlignment="1" applyProtection="1">
      <alignment horizontal="left" vertical="center" wrapText="1"/>
    </xf>
    <xf numFmtId="0" fontId="54" fillId="0" borderId="4" xfId="0" quotePrefix="1" applyFont="1" applyBorder="1" applyAlignment="1">
      <alignment horizontal="center" vertical="center" wrapText="1"/>
    </xf>
    <xf numFmtId="0" fontId="55" fillId="0" borderId="2" xfId="0" quotePrefix="1" applyFont="1" applyBorder="1" applyAlignment="1">
      <alignment horizontal="center" vertical="center" wrapText="1"/>
    </xf>
    <xf numFmtId="0" fontId="55" fillId="0" borderId="3" xfId="0" quotePrefix="1" applyFont="1" applyBorder="1" applyAlignment="1">
      <alignment horizontal="center" vertical="center" wrapText="1"/>
    </xf>
    <xf numFmtId="0" fontId="52" fillId="0" borderId="3" xfId="0" applyNumberFormat="1" applyFont="1" applyFill="1" applyBorder="1" applyAlignment="1" applyProtection="1">
      <alignment horizontal="left" vertical="center" wrapText="1"/>
    </xf>
    <xf numFmtId="0" fontId="52" fillId="0" borderId="2" xfId="0" quotePrefix="1" applyFont="1" applyFill="1" applyBorder="1" applyAlignment="1">
      <alignment horizontal="left" vertical="center"/>
    </xf>
    <xf numFmtId="0" fontId="56" fillId="0" borderId="3" xfId="0" applyNumberFormat="1" applyFont="1" applyFill="1" applyBorder="1" applyAlignment="1" applyProtection="1">
      <alignment vertical="center"/>
    </xf>
    <xf numFmtId="0" fontId="52" fillId="4" borderId="2" xfId="0" applyNumberFormat="1" applyFont="1" applyFill="1" applyBorder="1" applyAlignment="1" applyProtection="1">
      <alignment horizontal="left" vertical="center" wrapText="1"/>
    </xf>
    <xf numFmtId="0" fontId="56" fillId="4" borderId="3" xfId="0" applyNumberFormat="1" applyFont="1" applyFill="1" applyBorder="1" applyAlignment="1" applyProtection="1">
      <alignment vertical="center" wrapText="1"/>
    </xf>
    <xf numFmtId="0" fontId="56" fillId="4" borderId="3" xfId="0" applyNumberFormat="1" applyFont="1" applyFill="1" applyBorder="1" applyAlignment="1" applyProtection="1">
      <alignment vertical="center"/>
    </xf>
    <xf numFmtId="0" fontId="52" fillId="0" borderId="2" xfId="0" quotePrefix="1" applyNumberFormat="1" applyFont="1" applyFill="1" applyBorder="1" applyAlignment="1" applyProtection="1">
      <alignment horizontal="left" vertical="center" wrapText="1"/>
    </xf>
    <xf numFmtId="0" fontId="52" fillId="0" borderId="2" xfId="0" quotePrefix="1" applyFont="1" applyBorder="1" applyAlignment="1">
      <alignment horizontal="left" vertical="center"/>
    </xf>
    <xf numFmtId="0" fontId="52" fillId="4" borderId="2" xfId="0" quotePrefix="1" applyNumberFormat="1" applyFont="1" applyFill="1" applyBorder="1" applyAlignment="1" applyProtection="1">
      <alignment horizontal="left" vertical="center" wrapText="1"/>
    </xf>
    <xf numFmtId="0" fontId="48" fillId="3" borderId="0" xfId="0" applyNumberFormat="1" applyFont="1" applyFill="1" applyBorder="1" applyAlignment="1" applyProtection="1">
      <alignment horizontal="center" vertical="center" wrapText="1"/>
    </xf>
    <xf numFmtId="0" fontId="52" fillId="3" borderId="6" xfId="0" applyNumberFormat="1" applyFont="1" applyFill="1" applyBorder="1" applyAlignment="1" applyProtection="1">
      <alignment horizontal="left" vertical="center" wrapText="1"/>
    </xf>
    <xf numFmtId="0" fontId="55" fillId="0" borderId="4" xfId="0" quotePrefix="1" applyFont="1" applyBorder="1" applyAlignment="1">
      <alignment horizontal="center" wrapText="1"/>
    </xf>
    <xf numFmtId="0" fontId="55" fillId="0" borderId="2" xfId="0" quotePrefix="1" applyFont="1" applyBorder="1" applyAlignment="1">
      <alignment horizontal="center" wrapText="1"/>
    </xf>
    <xf numFmtId="0" fontId="49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 wrapText="1"/>
    </xf>
    <xf numFmtId="3" fontId="8" fillId="2" borderId="4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37" fillId="3" borderId="7" xfId="6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49" fontId="12" fillId="0" borderId="2" xfId="2" quotePrefix="1" applyNumberFormat="1" applyFont="1" applyBorder="1" applyAlignment="1">
      <alignment horizontal="left" vertical="center"/>
    </xf>
    <xf numFmtId="49" fontId="12" fillId="0" borderId="5" xfId="2" quotePrefix="1" applyNumberFormat="1" applyFont="1" applyBorder="1" applyAlignment="1">
      <alignment horizontal="left" vertical="center"/>
    </xf>
    <xf numFmtId="0" fontId="8" fillId="0" borderId="9" xfId="2" quotePrefix="1" applyFont="1" applyBorder="1" applyAlignment="1">
      <alignment horizontal="center" vertical="center" wrapText="1"/>
    </xf>
    <xf numFmtId="0" fontId="8" fillId="0" borderId="8" xfId="2" quotePrefix="1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9" xfId="2" quotePrefix="1" applyNumberFormat="1" applyFont="1" applyBorder="1" applyAlignment="1">
      <alignment horizontal="center" vertical="center" wrapText="1"/>
    </xf>
    <xf numFmtId="3" fontId="8" fillId="0" borderId="8" xfId="2" quotePrefix="1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49" fontId="12" fillId="0" borderId="2" xfId="2" quotePrefix="1" applyNumberFormat="1" applyFont="1" applyBorder="1" applyAlignment="1">
      <alignment horizontal="left" vertical="center" wrapText="1"/>
    </xf>
    <xf numFmtId="49" fontId="12" fillId="0" borderId="5" xfId="2" quotePrefix="1" applyNumberFormat="1" applyFont="1" applyBorder="1" applyAlignment="1">
      <alignment horizontal="left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2" xfId="2" quotePrefix="1" applyNumberFormat="1" applyFont="1" applyBorder="1" applyAlignment="1">
      <alignment horizontal="left" vertical="center"/>
    </xf>
    <xf numFmtId="3" fontId="12" fillId="0" borderId="5" xfId="2" quotePrefix="1" applyNumberFormat="1" applyFont="1" applyBorder="1" applyAlignment="1">
      <alignment horizontal="left" vertical="center"/>
    </xf>
    <xf numFmtId="3" fontId="8" fillId="0" borderId="19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2" xfId="2" quotePrefix="1" applyNumberFormat="1" applyFont="1" applyBorder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quotePrefix="1" applyNumberFormat="1" applyFont="1" applyAlignment="1">
      <alignment horizontal="left" vertical="center"/>
    </xf>
    <xf numFmtId="3" fontId="8" fillId="0" borderId="6" xfId="2" quotePrefix="1" applyNumberFormat="1" applyFont="1" applyBorder="1" applyAlignment="1">
      <alignment horizontal="left" wrapText="1"/>
    </xf>
    <xf numFmtId="3" fontId="8" fillId="0" borderId="9" xfId="2" applyNumberFormat="1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2" fillId="0" borderId="23" xfId="2" quotePrefix="1" applyNumberFormat="1" applyFont="1" applyBorder="1" applyAlignment="1">
      <alignment horizontal="center" vertical="center"/>
    </xf>
    <xf numFmtId="3" fontId="12" fillId="0" borderId="24" xfId="2" quotePrefix="1" applyNumberFormat="1" applyFont="1" applyBorder="1" applyAlignment="1">
      <alignment horizontal="center" vertical="center"/>
    </xf>
    <xf numFmtId="3" fontId="8" fillId="0" borderId="26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12" fillId="0" borderId="6" xfId="2" quotePrefix="1" applyNumberFormat="1" applyFont="1" applyBorder="1" applyAlignment="1">
      <alignment horizontal="left" vertical="center" wrapText="1"/>
    </xf>
    <xf numFmtId="3" fontId="20" fillId="3" borderId="0" xfId="2" applyNumberFormat="1" applyFont="1" applyFill="1" applyAlignment="1">
      <alignment horizontal="center" vertical="center"/>
    </xf>
    <xf numFmtId="49" fontId="12" fillId="3" borderId="2" xfId="2" applyNumberFormat="1" applyFont="1" applyFill="1" applyBorder="1" applyAlignment="1">
      <alignment horizontal="right" vertical="center"/>
    </xf>
    <xf numFmtId="49" fontId="12" fillId="3" borderId="3" xfId="2" applyNumberFormat="1" applyFont="1" applyFill="1" applyBorder="1" applyAlignment="1">
      <alignment horizontal="right" vertical="center"/>
    </xf>
    <xf numFmtId="3" fontId="12" fillId="3" borderId="16" xfId="2" applyNumberFormat="1" applyFont="1" applyFill="1" applyBorder="1" applyAlignment="1">
      <alignment horizontal="center"/>
    </xf>
    <xf numFmtId="3" fontId="12" fillId="3" borderId="18" xfId="2" applyNumberFormat="1" applyFont="1" applyFill="1" applyBorder="1" applyAlignment="1">
      <alignment horizontal="center"/>
    </xf>
    <xf numFmtId="3" fontId="12" fillId="3" borderId="13" xfId="2" applyNumberFormat="1" applyFont="1" applyFill="1" applyBorder="1" applyAlignment="1">
      <alignment horizontal="center"/>
    </xf>
    <xf numFmtId="3" fontId="12" fillId="3" borderId="44" xfId="2" applyNumberFormat="1" applyFont="1" applyFill="1" applyBorder="1" applyAlignment="1">
      <alignment horizontal="center"/>
    </xf>
    <xf numFmtId="3" fontId="12" fillId="3" borderId="37" xfId="2" applyNumberFormat="1" applyFont="1" applyFill="1" applyBorder="1" applyAlignment="1">
      <alignment horizontal="center"/>
    </xf>
    <xf numFmtId="3" fontId="12" fillId="3" borderId="29" xfId="2" applyNumberFormat="1" applyFont="1" applyFill="1" applyBorder="1" applyAlignment="1">
      <alignment horizontal="center"/>
    </xf>
    <xf numFmtId="3" fontId="12" fillId="3" borderId="30" xfId="2" applyNumberFormat="1" applyFont="1" applyFill="1" applyBorder="1" applyAlignment="1">
      <alignment horizontal="center"/>
    </xf>
    <xf numFmtId="3" fontId="12" fillId="3" borderId="15" xfId="2" applyNumberFormat="1" applyFont="1" applyFill="1" applyBorder="1" applyAlignment="1">
      <alignment horizontal="center"/>
    </xf>
    <xf numFmtId="3" fontId="12" fillId="3" borderId="31" xfId="2" applyNumberFormat="1" applyFont="1" applyFill="1" applyBorder="1" applyAlignment="1">
      <alignment horizontal="center"/>
    </xf>
    <xf numFmtId="3" fontId="12" fillId="3" borderId="32" xfId="2" applyNumberFormat="1" applyFont="1" applyFill="1" applyBorder="1" applyAlignment="1">
      <alignment horizontal="center"/>
    </xf>
    <xf numFmtId="3" fontId="12" fillId="3" borderId="10" xfId="2" applyNumberFormat="1" applyFont="1" applyFill="1" applyBorder="1" applyAlignment="1">
      <alignment horizontal="center"/>
    </xf>
    <xf numFmtId="3" fontId="12" fillId="3" borderId="12" xfId="2" applyNumberFormat="1" applyFont="1" applyFill="1" applyBorder="1" applyAlignment="1">
      <alignment horizontal="center"/>
    </xf>
    <xf numFmtId="49" fontId="12" fillId="3" borderId="5" xfId="2" applyNumberFormat="1" applyFont="1" applyFill="1" applyBorder="1" applyAlignment="1">
      <alignment horizontal="right" vertical="center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7"/>
  <sheetViews>
    <sheetView zoomScaleNormal="100" workbookViewId="0">
      <selection activeCell="B1" sqref="B1:L1"/>
    </sheetView>
  </sheetViews>
  <sheetFormatPr defaultColWidth="8.85546875" defaultRowHeight="15.75" x14ac:dyDescent="0.25"/>
  <cols>
    <col min="1" max="1" width="1.7109375" style="203" customWidth="1"/>
    <col min="2" max="4" width="8.85546875" style="203" customWidth="1"/>
    <col min="5" max="5" width="22.85546875" style="203" customWidth="1"/>
    <col min="6" max="8" width="15.28515625" style="203" customWidth="1"/>
    <col min="9" max="9" width="10.42578125" style="203" customWidth="1"/>
    <col min="10" max="10" width="12.42578125" style="203" customWidth="1"/>
    <col min="11" max="11" width="11.7109375" style="203" bestFit="1" customWidth="1"/>
    <col min="12" max="14" width="12.7109375" style="203" bestFit="1" customWidth="1"/>
    <col min="15" max="15" width="8.85546875" style="203" customWidth="1"/>
    <col min="16" max="16384" width="8.85546875" style="203"/>
  </cols>
  <sheetData>
    <row r="1" spans="2:13" customFormat="1" ht="42" customHeight="1" x14ac:dyDescent="0.2">
      <c r="B1" s="448" t="s">
        <v>314</v>
      </c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398"/>
    </row>
    <row r="2" spans="2:13" customFormat="1" ht="18" customHeight="1" x14ac:dyDescent="0.2"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399"/>
    </row>
    <row r="3" spans="2:13" customFormat="1" ht="15.75" customHeight="1" x14ac:dyDescent="0.2">
      <c r="B3" s="448" t="s">
        <v>19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00"/>
    </row>
    <row r="4" spans="2:13" customFormat="1" ht="18" x14ac:dyDescent="0.2"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01"/>
    </row>
    <row r="5" spans="2:13" customFormat="1" ht="18" customHeight="1" x14ac:dyDescent="0.25">
      <c r="B5" s="448" t="s">
        <v>291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02"/>
    </row>
    <row r="6" spans="2:13" customFormat="1" ht="18" customHeight="1" x14ac:dyDescent="0.25"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02"/>
    </row>
    <row r="7" spans="2:13" customFormat="1" ht="18" customHeight="1" x14ac:dyDescent="0.2">
      <c r="B7" s="449" t="s">
        <v>292</v>
      </c>
      <c r="C7" s="449"/>
      <c r="D7" s="449"/>
      <c r="E7" s="449"/>
      <c r="F7" s="449"/>
      <c r="G7" s="403"/>
      <c r="H7" s="404"/>
      <c r="I7" s="404"/>
      <c r="J7" s="404"/>
      <c r="K7" s="405"/>
      <c r="L7" s="405"/>
    </row>
    <row r="8" spans="2:13" customFormat="1" ht="51" x14ac:dyDescent="0.2">
      <c r="B8" s="436" t="s">
        <v>38</v>
      </c>
      <c r="C8" s="436"/>
      <c r="D8" s="436"/>
      <c r="E8" s="436"/>
      <c r="F8" s="436"/>
      <c r="G8" s="406" t="s">
        <v>315</v>
      </c>
      <c r="H8" s="406" t="s">
        <v>310</v>
      </c>
      <c r="I8" s="406" t="s">
        <v>309</v>
      </c>
      <c r="J8" s="406" t="s">
        <v>316</v>
      </c>
      <c r="K8" s="406" t="s">
        <v>293</v>
      </c>
      <c r="L8" s="406" t="s">
        <v>294</v>
      </c>
    </row>
    <row r="9" spans="2:13" customFormat="1" ht="12.75" x14ac:dyDescent="0.2">
      <c r="B9" s="450">
        <v>1</v>
      </c>
      <c r="C9" s="450"/>
      <c r="D9" s="450"/>
      <c r="E9" s="450"/>
      <c r="F9" s="451"/>
      <c r="G9" s="407">
        <v>2</v>
      </c>
      <c r="H9" s="408">
        <v>3</v>
      </c>
      <c r="I9" s="408">
        <v>4</v>
      </c>
      <c r="J9" s="408">
        <v>5</v>
      </c>
      <c r="K9" s="408" t="s">
        <v>295</v>
      </c>
      <c r="L9" s="408" t="s">
        <v>296</v>
      </c>
    </row>
    <row r="10" spans="2:13" customFormat="1" x14ac:dyDescent="0.2">
      <c r="B10" s="429" t="s">
        <v>297</v>
      </c>
      <c r="C10" s="430"/>
      <c r="D10" s="430"/>
      <c r="E10" s="430"/>
      <c r="F10" s="441"/>
      <c r="G10" s="205">
        <f>'RAČUN PRIHODA I RASHODA'!E5</f>
        <v>419214.28</v>
      </c>
      <c r="H10" s="205">
        <f>'RAČUN PRIHODA I RASHODA'!F5</f>
        <v>511825</v>
      </c>
      <c r="I10" s="205">
        <f>'RAČUN PRIHODA I RASHODA'!F5</f>
        <v>511825</v>
      </c>
      <c r="J10" s="205">
        <f>'RAČUN PRIHODA I RASHODA'!G5</f>
        <v>506869.27999999997</v>
      </c>
      <c r="K10" s="384">
        <f>J10/G10*100</f>
        <v>120.90935451912561</v>
      </c>
      <c r="L10" s="384">
        <f t="shared" ref="L10" si="0">J10/I10*100</f>
        <v>99.031754994382837</v>
      </c>
    </row>
    <row r="11" spans="2:13" customFormat="1" ht="12.75" x14ac:dyDescent="0.2">
      <c r="B11" s="440" t="s">
        <v>298</v>
      </c>
      <c r="C11" s="441"/>
      <c r="D11" s="441"/>
      <c r="E11" s="441"/>
      <c r="F11" s="441"/>
      <c r="G11" s="409"/>
      <c r="H11" s="410"/>
      <c r="I11" s="410"/>
      <c r="J11" s="410"/>
      <c r="K11" s="410"/>
      <c r="L11" s="410"/>
    </row>
    <row r="12" spans="2:13" customFormat="1" ht="12.75" x14ac:dyDescent="0.2">
      <c r="B12" s="442" t="s">
        <v>1</v>
      </c>
      <c r="C12" s="443"/>
      <c r="D12" s="443"/>
      <c r="E12" s="443"/>
      <c r="F12" s="444"/>
      <c r="G12" s="422">
        <f>SUM(G10:G11)</f>
        <v>419214.28</v>
      </c>
      <c r="H12" s="422">
        <f t="shared" ref="H12:J12" si="1">SUM(H10:H11)</f>
        <v>511825</v>
      </c>
      <c r="I12" s="422">
        <f t="shared" si="1"/>
        <v>511825</v>
      </c>
      <c r="J12" s="422">
        <f t="shared" si="1"/>
        <v>506869.27999999997</v>
      </c>
      <c r="K12" s="411">
        <f>J12/G12*100</f>
        <v>120.90935451912561</v>
      </c>
      <c r="L12" s="411">
        <f t="shared" ref="L12:L13" si="2">J12/I12*100</f>
        <v>99.031754994382837</v>
      </c>
    </row>
    <row r="13" spans="2:13" customFormat="1" x14ac:dyDescent="0.2">
      <c r="B13" s="445" t="s">
        <v>299</v>
      </c>
      <c r="C13" s="430"/>
      <c r="D13" s="430"/>
      <c r="E13" s="430"/>
      <c r="F13" s="430"/>
      <c r="G13" s="205">
        <f>'RAČUN PRIHODA I RASHODA'!E44</f>
        <v>399331.27400000009</v>
      </c>
      <c r="H13" s="205">
        <f>'RAČUN PRIHODA I RASHODA'!F44</f>
        <v>525189.30000000005</v>
      </c>
      <c r="I13" s="205">
        <f>'RAČUN PRIHODA I RASHODA'!F44</f>
        <v>525189.30000000005</v>
      </c>
      <c r="J13" s="205">
        <f>'RAČUN PRIHODA I RASHODA'!G44</f>
        <v>506968.8899999999</v>
      </c>
      <c r="K13" s="384">
        <f>J13/G13*100</f>
        <v>126.95446688205037</v>
      </c>
      <c r="L13" s="384">
        <f t="shared" si="2"/>
        <v>96.530696645952204</v>
      </c>
    </row>
    <row r="14" spans="2:13" customFormat="1" x14ac:dyDescent="0.2">
      <c r="B14" s="446" t="s">
        <v>300</v>
      </c>
      <c r="C14" s="441"/>
      <c r="D14" s="441"/>
      <c r="E14" s="441"/>
      <c r="F14" s="441"/>
      <c r="G14" s="206">
        <f>'RAČUN PRIHODA I RASHODA'!E149</f>
        <v>9559.630000000001</v>
      </c>
      <c r="H14" s="206">
        <f>'RAČUN PRIHODA I RASHODA'!F149</f>
        <v>8276.66</v>
      </c>
      <c r="I14" s="206">
        <f>'RAČUN PRIHODA I RASHODA'!F149</f>
        <v>8276.66</v>
      </c>
      <c r="J14" s="206">
        <f>'RAČUN PRIHODA I RASHODA'!G149</f>
        <v>8337.0300000000007</v>
      </c>
      <c r="K14" s="384">
        <f>J14/G14*100</f>
        <v>87.21080209171275</v>
      </c>
      <c r="L14" s="384">
        <f t="shared" ref="L14:L15" si="3">J14/I14*100</f>
        <v>100.72940050696779</v>
      </c>
    </row>
    <row r="15" spans="2:13" customFormat="1" ht="12.75" x14ac:dyDescent="0.2">
      <c r="B15" s="414" t="s">
        <v>2</v>
      </c>
      <c r="C15" s="415"/>
      <c r="D15" s="415"/>
      <c r="E15" s="415"/>
      <c r="F15" s="415"/>
      <c r="G15" s="422">
        <f>SUM(G13:G14)</f>
        <v>408890.9040000001</v>
      </c>
      <c r="H15" s="422">
        <f t="shared" ref="H15:I15" si="4">SUM(H13:H14)</f>
        <v>533465.96000000008</v>
      </c>
      <c r="I15" s="422">
        <f t="shared" si="4"/>
        <v>533465.96000000008</v>
      </c>
      <c r="J15" s="422">
        <f>SUM(J13:J14)</f>
        <v>515305.91999999993</v>
      </c>
      <c r="K15" s="411">
        <f>J15/G15*100</f>
        <v>126.02528326235397</v>
      </c>
      <c r="L15" s="411">
        <f t="shared" si="3"/>
        <v>96.595839029729262</v>
      </c>
    </row>
    <row r="16" spans="2:13" customFormat="1" ht="12.75" x14ac:dyDescent="0.2">
      <c r="B16" s="447" t="s">
        <v>301</v>
      </c>
      <c r="C16" s="443"/>
      <c r="D16" s="443"/>
      <c r="E16" s="443"/>
      <c r="F16" s="443"/>
      <c r="G16" s="423">
        <f>G12-G15</f>
        <v>10323.375999999931</v>
      </c>
      <c r="H16" s="423">
        <f>H12-H15</f>
        <v>-21640.960000000079</v>
      </c>
      <c r="I16" s="423">
        <f>I12-I15</f>
        <v>-21640.960000000079</v>
      </c>
      <c r="J16" s="423">
        <f>J12-J15</f>
        <v>-8436.6399999999558</v>
      </c>
      <c r="K16" s="411">
        <f>J16/G16*100</f>
        <v>-81.723653192521624</v>
      </c>
      <c r="L16" s="411"/>
    </row>
    <row r="17" spans="1:49" customFormat="1" ht="18" x14ac:dyDescent="0.2"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16"/>
    </row>
    <row r="18" spans="1:49" customFormat="1" ht="18" customHeight="1" x14ac:dyDescent="0.2">
      <c r="B18" s="435" t="s">
        <v>302</v>
      </c>
      <c r="C18" s="435"/>
      <c r="D18" s="435"/>
      <c r="E18" s="435"/>
      <c r="F18" s="435"/>
      <c r="G18" s="403"/>
      <c r="H18" s="404"/>
      <c r="I18" s="404"/>
      <c r="J18" s="404"/>
      <c r="K18" s="405"/>
      <c r="L18" s="405"/>
      <c r="M18" s="416"/>
    </row>
    <row r="19" spans="1:49" customFormat="1" ht="51" x14ac:dyDescent="0.2">
      <c r="B19" s="436" t="s">
        <v>38</v>
      </c>
      <c r="C19" s="436"/>
      <c r="D19" s="436"/>
      <c r="E19" s="436"/>
      <c r="F19" s="436"/>
      <c r="G19" s="406" t="s">
        <v>317</v>
      </c>
      <c r="H19" s="406" t="s">
        <v>310</v>
      </c>
      <c r="I19" s="406" t="s">
        <v>309</v>
      </c>
      <c r="J19" s="406" t="s">
        <v>316</v>
      </c>
      <c r="K19" s="406" t="s">
        <v>293</v>
      </c>
      <c r="L19" s="406" t="s">
        <v>294</v>
      </c>
    </row>
    <row r="20" spans="1:49" customFormat="1" ht="12.75" x14ac:dyDescent="0.2">
      <c r="B20" s="437">
        <v>1</v>
      </c>
      <c r="C20" s="438"/>
      <c r="D20" s="438"/>
      <c r="E20" s="438"/>
      <c r="F20" s="438"/>
      <c r="G20" s="417">
        <v>2</v>
      </c>
      <c r="H20" s="408">
        <v>3</v>
      </c>
      <c r="I20" s="408">
        <v>4</v>
      </c>
      <c r="J20" s="408">
        <v>5</v>
      </c>
      <c r="K20" s="408" t="s">
        <v>295</v>
      </c>
      <c r="L20" s="408" t="s">
        <v>296</v>
      </c>
    </row>
    <row r="21" spans="1:49" customFormat="1" ht="15.75" customHeight="1" x14ac:dyDescent="0.2">
      <c r="B21" s="429" t="s">
        <v>303</v>
      </c>
      <c r="C21" s="439"/>
      <c r="D21" s="439"/>
      <c r="E21" s="439"/>
      <c r="F21" s="439"/>
      <c r="G21" s="418"/>
      <c r="H21" s="413"/>
      <c r="I21" s="413"/>
      <c r="J21" s="413"/>
      <c r="K21" s="413"/>
      <c r="L21" s="413"/>
    </row>
    <row r="22" spans="1:49" customFormat="1" ht="12.75" x14ac:dyDescent="0.2">
      <c r="B22" s="429" t="s">
        <v>304</v>
      </c>
      <c r="C22" s="430"/>
      <c r="D22" s="430"/>
      <c r="E22" s="430"/>
      <c r="F22" s="430"/>
      <c r="G22" s="412"/>
      <c r="H22" s="413"/>
      <c r="I22" s="413"/>
      <c r="J22" s="413"/>
      <c r="K22" s="413"/>
      <c r="L22" s="413"/>
    </row>
    <row r="23" spans="1:49" customFormat="1" ht="15" customHeight="1" x14ac:dyDescent="0.2">
      <c r="B23" s="431" t="s">
        <v>305</v>
      </c>
      <c r="C23" s="432"/>
      <c r="D23" s="432"/>
      <c r="E23" s="432"/>
      <c r="F23" s="433"/>
      <c r="G23" s="426">
        <f>SUM(G21:G22)</f>
        <v>0</v>
      </c>
      <c r="H23" s="426">
        <f t="shared" ref="H23:J23" si="5">SUM(H21:H22)</f>
        <v>0</v>
      </c>
      <c r="I23" s="426">
        <f t="shared" si="5"/>
        <v>0</v>
      </c>
      <c r="J23" s="426">
        <f t="shared" si="5"/>
        <v>0</v>
      </c>
      <c r="K23" s="427"/>
      <c r="L23" s="427"/>
    </row>
    <row r="24" spans="1:49" s="419" customFormat="1" ht="15" customHeight="1" x14ac:dyDescent="0.2">
      <c r="A24"/>
      <c r="B24" s="429" t="s">
        <v>230</v>
      </c>
      <c r="C24" s="430"/>
      <c r="D24" s="430"/>
      <c r="E24" s="430"/>
      <c r="F24" s="430"/>
      <c r="G24" s="360">
        <f>'Račun financiranja'!E20</f>
        <v>23077.5</v>
      </c>
      <c r="H24" s="360">
        <f>'Račun financiranja'!F20</f>
        <v>40644.740000000005</v>
      </c>
      <c r="I24" s="360">
        <f>'Račun financiranja'!F20</f>
        <v>40644.740000000005</v>
      </c>
      <c r="J24" s="360">
        <f>'Račun financiranja'!G20</f>
        <v>40644.740000000005</v>
      </c>
      <c r="K24" s="384">
        <f>J24/G24*100</f>
        <v>176.12280359657677</v>
      </c>
      <c r="L24" s="384">
        <f t="shared" ref="L24" si="6">J24/I24*100</f>
        <v>100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19" customFormat="1" ht="15" customHeight="1" x14ac:dyDescent="0.2">
      <c r="A25"/>
      <c r="B25" s="429" t="s">
        <v>306</v>
      </c>
      <c r="C25" s="430"/>
      <c r="D25" s="430"/>
      <c r="E25" s="430"/>
      <c r="F25" s="430"/>
      <c r="G25" s="424">
        <f>'Račun financiranja'!E29</f>
        <v>40644.99599999997</v>
      </c>
      <c r="H25" s="424">
        <f>'Račun financiranja'!F29</f>
        <v>19003.78</v>
      </c>
      <c r="I25" s="424">
        <f>'Račun financiranja'!F29</f>
        <v>19003.78</v>
      </c>
      <c r="J25" s="424">
        <f>'Račun financiranja'!G29</f>
        <v>32208.100000000006</v>
      </c>
      <c r="K25" s="384">
        <f>J25/G25*100</f>
        <v>79.242473046374585</v>
      </c>
      <c r="L25" s="384">
        <f t="shared" ref="L25" si="7">J25/I25*100</f>
        <v>169.48259767267356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21" customFormat="1" ht="12.75" x14ac:dyDescent="0.2">
      <c r="A26" s="420"/>
      <c r="B26" s="431" t="s">
        <v>307</v>
      </c>
      <c r="C26" s="432"/>
      <c r="D26" s="432"/>
      <c r="E26" s="432"/>
      <c r="F26" s="433"/>
      <c r="G26" s="425">
        <f>G24-G25</f>
        <v>-17567.49599999997</v>
      </c>
      <c r="H26" s="425">
        <f>H24-H25</f>
        <v>21640.960000000006</v>
      </c>
      <c r="I26" s="425">
        <f>I24-I25</f>
        <v>21640.960000000006</v>
      </c>
      <c r="J26" s="425">
        <f>J24-J25</f>
        <v>8436.64</v>
      </c>
      <c r="K26" s="411"/>
      <c r="L26" s="411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</row>
    <row r="27" spans="1:49" customFormat="1" ht="12.75" x14ac:dyDescent="0.2">
      <c r="B27" s="428" t="s">
        <v>308</v>
      </c>
      <c r="C27" s="428"/>
      <c r="D27" s="428"/>
      <c r="E27" s="428"/>
      <c r="F27" s="428"/>
      <c r="G27" s="425">
        <f>G16+G26</f>
        <v>-7244.120000000039</v>
      </c>
      <c r="H27" s="425">
        <f>H16+H26</f>
        <v>-7.2759576141834259E-11</v>
      </c>
      <c r="I27" s="425">
        <f>I16+I26</f>
        <v>-7.2759576141834259E-11</v>
      </c>
      <c r="J27" s="425">
        <f>J16+J26</f>
        <v>4.3655745685100555E-11</v>
      </c>
      <c r="K27" s="427"/>
      <c r="L27" s="427"/>
    </row>
  </sheetData>
  <mergeCells count="26">
    <mergeCell ref="B1:L1"/>
    <mergeCell ref="B2:L2"/>
    <mergeCell ref="B3:L3"/>
    <mergeCell ref="B4:L4"/>
    <mergeCell ref="B5:L5"/>
    <mergeCell ref="B6:L6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B17:L17"/>
    <mergeCell ref="B18:F18"/>
    <mergeCell ref="B19:F19"/>
    <mergeCell ref="B20:F20"/>
    <mergeCell ref="B21:F21"/>
    <mergeCell ref="B27:F27"/>
    <mergeCell ref="B22:F22"/>
    <mergeCell ref="B23:F23"/>
    <mergeCell ref="B24:F24"/>
    <mergeCell ref="B25:F25"/>
    <mergeCell ref="B26:F26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67"/>
  <sheetViews>
    <sheetView zoomScaleNormal="100" workbookViewId="0">
      <pane ySplit="4" topLeftCell="A5" activePane="bottomLeft" state="frozen"/>
      <selection pane="bottomLeft" activeCell="G153" sqref="G153"/>
    </sheetView>
  </sheetViews>
  <sheetFormatPr defaultColWidth="9.140625" defaultRowHeight="15" x14ac:dyDescent="0.2"/>
  <cols>
    <col min="1" max="1" width="7" style="267" bestFit="1" customWidth="1"/>
    <col min="2" max="2" width="8.42578125" style="267" customWidth="1"/>
    <col min="3" max="3" width="5.28515625" style="267" bestFit="1" customWidth="1"/>
    <col min="4" max="4" width="40.42578125" style="267" customWidth="1"/>
    <col min="5" max="5" width="12.5703125" style="284" customWidth="1"/>
    <col min="6" max="7" width="12.5703125" style="267" customWidth="1"/>
    <col min="8" max="9" width="8.85546875" style="267" bestFit="1" customWidth="1"/>
    <col min="10" max="14" width="15.140625" style="267" customWidth="1"/>
    <col min="15" max="15" width="16.7109375" style="267" hidden="1" customWidth="1"/>
    <col min="16" max="16" width="16.42578125" style="267" hidden="1" customWidth="1"/>
    <col min="17" max="17" width="12.5703125" style="267" hidden="1" customWidth="1"/>
    <col min="18" max="19" width="10.7109375" style="267" bestFit="1" customWidth="1"/>
    <col min="20" max="20" width="10.28515625" style="267" bestFit="1" customWidth="1"/>
    <col min="21" max="21" width="11.85546875" style="267" bestFit="1" customWidth="1"/>
    <col min="22" max="22" width="15.42578125" style="267" customWidth="1"/>
    <col min="23" max="23" width="9.140625" style="267" customWidth="1"/>
    <col min="24" max="16384" width="9.140625" style="267"/>
  </cols>
  <sheetData>
    <row r="1" spans="1:17" ht="31.5" customHeight="1" x14ac:dyDescent="0.2">
      <c r="A1" s="453" t="s">
        <v>311</v>
      </c>
      <c r="B1" s="453"/>
      <c r="C1" s="453"/>
      <c r="D1" s="453"/>
      <c r="E1" s="453"/>
      <c r="F1" s="453"/>
      <c r="G1" s="453"/>
      <c r="H1" s="453"/>
      <c r="I1" s="453"/>
      <c r="J1" s="292"/>
    </row>
    <row r="2" spans="1:17" ht="43.5" customHeight="1" x14ac:dyDescent="0.2">
      <c r="A2" s="459" t="s">
        <v>250</v>
      </c>
      <c r="B2" s="459"/>
      <c r="C2" s="459"/>
      <c r="D2" s="459"/>
      <c r="E2" s="459"/>
      <c r="F2" s="459"/>
      <c r="G2" s="459"/>
      <c r="H2" s="459"/>
      <c r="I2" s="459"/>
    </row>
    <row r="3" spans="1:17" s="268" customFormat="1" ht="60" x14ac:dyDescent="0.2">
      <c r="A3" s="257" t="s">
        <v>20</v>
      </c>
      <c r="B3" s="257" t="s">
        <v>204</v>
      </c>
      <c r="C3" s="257" t="s">
        <v>30</v>
      </c>
      <c r="D3" s="196" t="s">
        <v>3</v>
      </c>
      <c r="E3" s="257" t="s">
        <v>313</v>
      </c>
      <c r="F3" s="257" t="s">
        <v>173</v>
      </c>
      <c r="G3" s="257" t="s">
        <v>312</v>
      </c>
      <c r="H3" s="257" t="s">
        <v>185</v>
      </c>
      <c r="I3" s="257" t="s">
        <v>185</v>
      </c>
      <c r="J3" s="267"/>
      <c r="K3" s="267"/>
      <c r="L3" s="267"/>
      <c r="M3" s="267"/>
      <c r="N3" s="267"/>
      <c r="O3" s="267"/>
      <c r="P3" s="267"/>
      <c r="Q3" s="267"/>
    </row>
    <row r="4" spans="1:17" s="271" customFormat="1" x14ac:dyDescent="0.2">
      <c r="A4" s="455">
        <v>1</v>
      </c>
      <c r="B4" s="455"/>
      <c r="C4" s="455"/>
      <c r="D4" s="455"/>
      <c r="E4" s="258">
        <v>2</v>
      </c>
      <c r="F4" s="269">
        <v>3</v>
      </c>
      <c r="G4" s="269">
        <v>4</v>
      </c>
      <c r="H4" s="258" t="s">
        <v>203</v>
      </c>
      <c r="I4" s="223" t="s">
        <v>202</v>
      </c>
      <c r="J4" s="270"/>
      <c r="K4" s="270"/>
      <c r="L4" s="270"/>
      <c r="M4" s="270"/>
      <c r="N4" s="270"/>
      <c r="O4" s="270"/>
      <c r="P4" s="270"/>
      <c r="Q4" s="270"/>
    </row>
    <row r="5" spans="1:17" s="268" customFormat="1" x14ac:dyDescent="0.2">
      <c r="A5" s="257">
        <v>6</v>
      </c>
      <c r="B5" s="10"/>
      <c r="C5" s="257"/>
      <c r="D5" s="195" t="s">
        <v>35</v>
      </c>
      <c r="E5" s="10">
        <f>SUM(E14,E18,E25,E29,E34)</f>
        <v>419214.28</v>
      </c>
      <c r="F5" s="10">
        <f>SUM(F14,F18,F25,F29,F34)</f>
        <v>511825</v>
      </c>
      <c r="G5" s="10">
        <f>SUM(G14,G18,G25,G29,G34)</f>
        <v>506869.27999999997</v>
      </c>
      <c r="H5" s="263">
        <f>SUM(G5/E5*100)</f>
        <v>120.90935451912561</v>
      </c>
      <c r="I5" s="263">
        <f>SUM(G5/F5*100)</f>
        <v>99.031754994382837</v>
      </c>
      <c r="J5" s="267"/>
      <c r="K5" s="267"/>
      <c r="L5" s="267"/>
      <c r="M5" s="267"/>
      <c r="N5" s="267"/>
      <c r="O5" s="267"/>
      <c r="P5" s="267"/>
      <c r="Q5" s="267"/>
    </row>
    <row r="6" spans="1:17" s="271" customFormat="1" ht="30" x14ac:dyDescent="0.2">
      <c r="A6" s="272"/>
      <c r="B6" s="13">
        <v>63</v>
      </c>
      <c r="C6" s="8"/>
      <c r="D6" s="243" t="s">
        <v>13</v>
      </c>
      <c r="E6" s="14">
        <f t="shared" ref="E6:F6" si="0">SUM(E7,E9)</f>
        <v>15161.16</v>
      </c>
      <c r="F6" s="14">
        <f t="shared" si="0"/>
        <v>399</v>
      </c>
      <c r="G6" s="14">
        <f>SUM(G7,G9)</f>
        <v>467.68</v>
      </c>
      <c r="H6" s="263"/>
      <c r="I6" s="263"/>
      <c r="J6" s="270"/>
      <c r="K6" s="270"/>
      <c r="L6" s="270"/>
      <c r="M6" s="270"/>
      <c r="N6" s="270"/>
      <c r="O6" s="270"/>
      <c r="P6" s="270"/>
      <c r="Q6" s="270"/>
    </row>
    <row r="7" spans="1:17" s="268" customFormat="1" x14ac:dyDescent="0.2">
      <c r="A7" s="272"/>
      <c r="B7" s="13" t="s">
        <v>218</v>
      </c>
      <c r="C7" s="8"/>
      <c r="D7" s="243" t="s">
        <v>71</v>
      </c>
      <c r="E7" s="14">
        <f t="shared" ref="E7:F7" si="1">SUM(E8)</f>
        <v>15161.16</v>
      </c>
      <c r="F7" s="14">
        <f t="shared" si="1"/>
        <v>399</v>
      </c>
      <c r="G7" s="14">
        <f>SUM(G8)</f>
        <v>467.68</v>
      </c>
      <c r="H7" s="263"/>
      <c r="I7" s="263"/>
      <c r="J7" s="267"/>
      <c r="K7" s="267"/>
      <c r="L7" s="270"/>
      <c r="M7" s="267"/>
      <c r="N7" s="267"/>
      <c r="O7" s="267"/>
      <c r="P7" s="267"/>
      <c r="Q7" s="267"/>
    </row>
    <row r="8" spans="1:17" s="268" customFormat="1" ht="30" x14ac:dyDescent="0.2">
      <c r="A8" s="273"/>
      <c r="B8" s="235" t="s">
        <v>211</v>
      </c>
      <c r="C8" s="273"/>
      <c r="D8" s="238" t="s">
        <v>210</v>
      </c>
      <c r="E8" s="2">
        <v>15161.16</v>
      </c>
      <c r="F8" s="2">
        <v>399</v>
      </c>
      <c r="G8" s="2">
        <v>467.68</v>
      </c>
      <c r="H8" s="263"/>
      <c r="I8" s="263"/>
      <c r="J8" s="267"/>
      <c r="K8" s="267"/>
      <c r="L8" s="270"/>
      <c r="M8" s="267"/>
      <c r="N8" s="267"/>
      <c r="O8" s="267"/>
      <c r="P8" s="267"/>
      <c r="Q8" s="267"/>
    </row>
    <row r="9" spans="1:17" s="271" customFormat="1" ht="30" x14ac:dyDescent="0.2">
      <c r="A9" s="273"/>
      <c r="B9" s="13" t="s">
        <v>212</v>
      </c>
      <c r="C9" s="272"/>
      <c r="D9" s="243" t="s">
        <v>219</v>
      </c>
      <c r="E9" s="14">
        <f>SUM(E10)</f>
        <v>0</v>
      </c>
      <c r="F9" s="14">
        <f t="shared" ref="F9:G9" si="2">SUM(F10)</f>
        <v>0</v>
      </c>
      <c r="G9" s="14">
        <f t="shared" si="2"/>
        <v>0</v>
      </c>
      <c r="H9" s="263"/>
      <c r="I9" s="263"/>
      <c r="J9" s="270"/>
      <c r="K9" s="270"/>
      <c r="M9" s="270"/>
      <c r="N9" s="270"/>
      <c r="O9" s="270"/>
      <c r="P9" s="270"/>
      <c r="Q9" s="270"/>
    </row>
    <row r="10" spans="1:17" s="271" customFormat="1" ht="30" x14ac:dyDescent="0.2">
      <c r="A10" s="273"/>
      <c r="B10" s="235" t="s">
        <v>213</v>
      </c>
      <c r="C10" s="273"/>
      <c r="D10" s="238" t="s">
        <v>214</v>
      </c>
      <c r="E10" s="2">
        <v>0</v>
      </c>
      <c r="F10" s="2"/>
      <c r="G10" s="2"/>
      <c r="H10" s="263"/>
      <c r="I10" s="263"/>
      <c r="J10" s="270"/>
      <c r="K10" s="270"/>
      <c r="L10" s="270"/>
      <c r="M10" s="270"/>
      <c r="N10" s="270"/>
      <c r="O10" s="270"/>
      <c r="P10" s="270"/>
      <c r="Q10" s="270"/>
    </row>
    <row r="11" spans="1:17" s="268" customFormat="1" x14ac:dyDescent="0.2">
      <c r="A11" s="272"/>
      <c r="B11" s="239">
        <v>64</v>
      </c>
      <c r="C11" s="250"/>
      <c r="D11" s="252" t="s">
        <v>59</v>
      </c>
      <c r="E11" s="14">
        <f t="shared" ref="E11:F12" si="3">E12</f>
        <v>0</v>
      </c>
      <c r="F11" s="14">
        <f t="shared" si="3"/>
        <v>0</v>
      </c>
      <c r="G11" s="14">
        <f>G12</f>
        <v>0</v>
      </c>
      <c r="H11" s="263"/>
      <c r="I11" s="263"/>
      <c r="J11" s="267"/>
      <c r="K11" s="267"/>
      <c r="L11" s="267"/>
      <c r="M11" s="267"/>
      <c r="N11" s="267"/>
      <c r="O11" s="267"/>
      <c r="P11" s="267"/>
      <c r="Q11" s="267"/>
    </row>
    <row r="12" spans="1:17" s="271" customFormat="1" x14ac:dyDescent="0.2">
      <c r="A12" s="272"/>
      <c r="B12" s="239">
        <v>641</v>
      </c>
      <c r="C12" s="250"/>
      <c r="D12" s="252" t="s">
        <v>60</v>
      </c>
      <c r="E12" s="14">
        <f t="shared" si="3"/>
        <v>0</v>
      </c>
      <c r="F12" s="14">
        <f t="shared" si="3"/>
        <v>0</v>
      </c>
      <c r="G12" s="14">
        <f>G13</f>
        <v>0</v>
      </c>
      <c r="H12" s="263"/>
      <c r="I12" s="263"/>
      <c r="J12" s="270"/>
      <c r="K12" s="270"/>
      <c r="L12" s="270"/>
      <c r="M12" s="270"/>
      <c r="N12" s="270"/>
      <c r="O12" s="270"/>
      <c r="P12" s="270"/>
      <c r="Q12" s="270"/>
    </row>
    <row r="13" spans="1:17" s="271" customFormat="1" x14ac:dyDescent="0.2">
      <c r="A13" s="273"/>
      <c r="B13" s="378">
        <v>64151</v>
      </c>
      <c r="C13" s="273"/>
      <c r="D13" s="238" t="s">
        <v>287</v>
      </c>
      <c r="E13" s="2"/>
      <c r="F13" s="2"/>
      <c r="G13" s="2">
        <v>0</v>
      </c>
      <c r="H13" s="263"/>
      <c r="I13" s="263"/>
      <c r="J13" s="270"/>
      <c r="K13" s="270"/>
      <c r="L13" s="270"/>
      <c r="M13" s="270"/>
      <c r="N13" s="270"/>
      <c r="O13" s="270"/>
      <c r="P13" s="270"/>
      <c r="Q13" s="270"/>
    </row>
    <row r="14" spans="1:17" s="268" customFormat="1" x14ac:dyDescent="0.2">
      <c r="A14" s="274"/>
      <c r="B14" s="285"/>
      <c r="C14" s="3">
        <v>52</v>
      </c>
      <c r="D14" s="286" t="s">
        <v>22</v>
      </c>
      <c r="E14" s="4">
        <f t="shared" ref="E14:F14" si="4">SUM(E6,E11)</f>
        <v>15161.16</v>
      </c>
      <c r="F14" s="4">
        <f t="shared" si="4"/>
        <v>399</v>
      </c>
      <c r="G14" s="4">
        <f>SUM(G6,G11)</f>
        <v>467.68</v>
      </c>
      <c r="H14" s="387"/>
      <c r="I14" s="387"/>
      <c r="J14" s="267"/>
      <c r="K14" s="267"/>
      <c r="L14" s="267"/>
      <c r="M14" s="267"/>
      <c r="N14" s="267"/>
      <c r="O14" s="267"/>
      <c r="P14" s="267"/>
      <c r="Q14" s="267"/>
    </row>
    <row r="15" spans="1:17" s="268" customFormat="1" ht="45" x14ac:dyDescent="0.2">
      <c r="A15" s="272"/>
      <c r="B15" s="239">
        <v>65</v>
      </c>
      <c r="C15" s="250"/>
      <c r="D15" s="252" t="s">
        <v>12</v>
      </c>
      <c r="E15" s="14">
        <f t="shared" ref="E15:F15" si="5">SUM(E16)</f>
        <v>4131</v>
      </c>
      <c r="F15" s="14">
        <f t="shared" si="5"/>
        <v>6400</v>
      </c>
      <c r="G15" s="14">
        <f>SUM(G16)</f>
        <v>5928</v>
      </c>
      <c r="H15" s="263">
        <f t="shared" ref="H15:H35" si="6">SUM(G15/E15*100)</f>
        <v>143.50036310820624</v>
      </c>
      <c r="I15" s="263">
        <f t="shared" ref="I15:I35" si="7">SUM(G15/F15*100)</f>
        <v>92.625</v>
      </c>
      <c r="J15" s="267"/>
      <c r="K15" s="267"/>
      <c r="L15" s="267"/>
      <c r="M15" s="267"/>
      <c r="N15" s="267"/>
      <c r="O15" s="267"/>
      <c r="P15" s="267"/>
      <c r="Q15" s="267"/>
    </row>
    <row r="16" spans="1:17" s="271" customFormat="1" x14ac:dyDescent="0.2">
      <c r="A16" s="272"/>
      <c r="B16" s="239">
        <v>652</v>
      </c>
      <c r="C16" s="250"/>
      <c r="D16" s="252" t="s">
        <v>64</v>
      </c>
      <c r="E16" s="14">
        <f>SUM(E17)</f>
        <v>4131</v>
      </c>
      <c r="F16" s="14">
        <f t="shared" ref="F16:G16" si="8">SUM(F17)</f>
        <v>6400</v>
      </c>
      <c r="G16" s="14">
        <f t="shared" si="8"/>
        <v>5928</v>
      </c>
      <c r="H16" s="263"/>
      <c r="I16" s="263"/>
      <c r="J16" s="270"/>
      <c r="K16" s="270"/>
      <c r="L16" s="270"/>
      <c r="M16" s="270"/>
      <c r="N16" s="270"/>
      <c r="O16" s="270"/>
      <c r="P16" s="270"/>
      <c r="Q16" s="270"/>
    </row>
    <row r="17" spans="1:17" s="271" customFormat="1" x14ac:dyDescent="0.2">
      <c r="A17" s="273"/>
      <c r="B17" s="240">
        <v>6526</v>
      </c>
      <c r="C17" s="5"/>
      <c r="D17" s="6" t="s">
        <v>215</v>
      </c>
      <c r="E17" s="2">
        <v>4131</v>
      </c>
      <c r="F17" s="2">
        <v>6400</v>
      </c>
      <c r="G17" s="2">
        <v>5928</v>
      </c>
      <c r="H17" s="263"/>
      <c r="I17" s="263"/>
      <c r="J17" s="270"/>
      <c r="K17" s="270"/>
      <c r="L17" s="270"/>
      <c r="M17" s="270"/>
      <c r="N17" s="270"/>
      <c r="O17" s="270"/>
      <c r="P17" s="270"/>
      <c r="Q17" s="270"/>
    </row>
    <row r="18" spans="1:17" s="268" customFormat="1" x14ac:dyDescent="0.2">
      <c r="A18" s="274"/>
      <c r="B18" s="285"/>
      <c r="C18" s="3">
        <v>43</v>
      </c>
      <c r="D18" s="286" t="s">
        <v>262</v>
      </c>
      <c r="E18" s="4">
        <f>SUM(E15)</f>
        <v>4131</v>
      </c>
      <c r="F18" s="4">
        <f>SUM(F15)</f>
        <v>6400</v>
      </c>
      <c r="G18" s="4">
        <f>SUM(G15)</f>
        <v>5928</v>
      </c>
      <c r="H18" s="387">
        <f t="shared" si="6"/>
        <v>143.50036310820624</v>
      </c>
      <c r="I18" s="387">
        <f t="shared" si="7"/>
        <v>92.625</v>
      </c>
      <c r="J18" s="267"/>
      <c r="K18" s="267"/>
      <c r="L18" s="267"/>
      <c r="M18" s="267"/>
      <c r="N18" s="267"/>
      <c r="O18" s="267"/>
      <c r="P18" s="267"/>
      <c r="Q18" s="267"/>
    </row>
    <row r="19" spans="1:17" s="268" customFormat="1" x14ac:dyDescent="0.2">
      <c r="A19" s="272"/>
      <c r="B19" s="239">
        <v>64</v>
      </c>
      <c r="C19" s="250"/>
      <c r="D19" s="252" t="s">
        <v>59</v>
      </c>
      <c r="E19" s="14">
        <f t="shared" ref="E19:F19" si="9">E20</f>
        <v>0</v>
      </c>
      <c r="F19" s="14">
        <f t="shared" si="9"/>
        <v>0</v>
      </c>
      <c r="G19" s="14">
        <f>G20</f>
        <v>0.05</v>
      </c>
      <c r="H19" s="263"/>
      <c r="I19" s="263"/>
      <c r="J19" s="267"/>
      <c r="K19" s="267"/>
      <c r="L19" s="267"/>
      <c r="M19" s="267"/>
      <c r="N19" s="267"/>
      <c r="O19" s="267"/>
      <c r="P19" s="267"/>
      <c r="Q19" s="267"/>
    </row>
    <row r="20" spans="1:17" s="268" customFormat="1" x14ac:dyDescent="0.2">
      <c r="A20" s="272"/>
      <c r="B20" s="383">
        <v>641</v>
      </c>
      <c r="C20" s="8"/>
      <c r="D20" s="243" t="s">
        <v>60</v>
      </c>
      <c r="E20" s="10"/>
      <c r="F20" s="10"/>
      <c r="G20" s="10">
        <v>0.05</v>
      </c>
      <c r="H20" s="263"/>
      <c r="I20" s="263"/>
      <c r="J20" s="267"/>
      <c r="K20" s="267"/>
      <c r="L20" s="267"/>
      <c r="M20" s="267"/>
      <c r="N20" s="267"/>
      <c r="O20" s="267"/>
      <c r="P20" s="267"/>
      <c r="Q20" s="267"/>
    </row>
    <row r="21" spans="1:17" s="276" customFormat="1" x14ac:dyDescent="0.2">
      <c r="A21" s="273"/>
      <c r="B21" s="378">
        <v>64132</v>
      </c>
      <c r="C21" s="1"/>
      <c r="D21" s="238" t="s">
        <v>285</v>
      </c>
      <c r="E21" s="17"/>
      <c r="F21" s="17"/>
      <c r="G21" s="17">
        <v>0.05</v>
      </c>
      <c r="H21" s="263"/>
      <c r="I21" s="263"/>
      <c r="J21" s="275"/>
      <c r="K21" s="275"/>
      <c r="L21" s="275"/>
      <c r="M21" s="275"/>
      <c r="N21" s="275"/>
      <c r="O21" s="275"/>
      <c r="P21" s="275"/>
      <c r="Q21" s="275"/>
    </row>
    <row r="22" spans="1:17" s="268" customFormat="1" ht="30" x14ac:dyDescent="0.2">
      <c r="A22" s="272"/>
      <c r="B22" s="13">
        <v>66</v>
      </c>
      <c r="C22" s="8"/>
      <c r="D22" s="243" t="s">
        <v>8</v>
      </c>
      <c r="E22" s="10">
        <f>E23</f>
        <v>6255.75</v>
      </c>
      <c r="F22" s="10">
        <f t="shared" ref="F22:G22" si="10">F23</f>
        <v>4000</v>
      </c>
      <c r="G22" s="10">
        <f t="shared" si="10"/>
        <v>10500.6</v>
      </c>
      <c r="H22" s="263">
        <f t="shared" ref="H22" si="11">SUM(G22/E22*100)</f>
        <v>167.85517324061863</v>
      </c>
      <c r="I22" s="263">
        <f t="shared" ref="I22" si="12">SUM(G22/F22*100)</f>
        <v>262.51499999999999</v>
      </c>
      <c r="J22" s="267"/>
      <c r="K22" s="267"/>
      <c r="L22" s="267"/>
      <c r="M22" s="267"/>
      <c r="N22" s="267"/>
      <c r="O22" s="267"/>
      <c r="P22" s="267"/>
      <c r="Q22" s="267"/>
    </row>
    <row r="23" spans="1:17" s="268" customFormat="1" ht="30" x14ac:dyDescent="0.2">
      <c r="A23" s="272"/>
      <c r="B23" s="13">
        <v>661</v>
      </c>
      <c r="C23" s="8"/>
      <c r="D23" s="243" t="s">
        <v>8</v>
      </c>
      <c r="E23" s="10">
        <f t="shared" ref="E23:F23" si="13">SUM(E24)</f>
        <v>6255.75</v>
      </c>
      <c r="F23" s="10">
        <f t="shared" si="13"/>
        <v>4000</v>
      </c>
      <c r="G23" s="10">
        <f>SUM(G24)</f>
        <v>10500.6</v>
      </c>
      <c r="H23" s="263"/>
      <c r="I23" s="263"/>
      <c r="J23" s="267"/>
      <c r="K23" s="267"/>
      <c r="L23" s="267"/>
      <c r="M23" s="267"/>
      <c r="N23" s="267"/>
      <c r="O23" s="267"/>
      <c r="P23" s="267"/>
      <c r="Q23" s="267"/>
    </row>
    <row r="24" spans="1:17" s="276" customFormat="1" x14ac:dyDescent="0.2">
      <c r="A24" s="273"/>
      <c r="B24" s="378">
        <v>6615</v>
      </c>
      <c r="C24" s="1"/>
      <c r="D24" s="238" t="s">
        <v>216</v>
      </c>
      <c r="E24" s="17">
        <v>6255.75</v>
      </c>
      <c r="F24" s="17">
        <v>4000</v>
      </c>
      <c r="G24" s="17">
        <v>10500.6</v>
      </c>
      <c r="H24" s="263"/>
      <c r="I24" s="263"/>
      <c r="J24" s="275"/>
      <c r="K24" s="275"/>
      <c r="L24" s="275"/>
      <c r="M24" s="275"/>
      <c r="N24" s="275"/>
      <c r="O24" s="275"/>
      <c r="P24" s="275"/>
      <c r="Q24" s="275"/>
    </row>
    <row r="25" spans="1:17" s="289" customFormat="1" x14ac:dyDescent="0.2">
      <c r="A25" s="274"/>
      <c r="B25" s="285"/>
      <c r="C25" s="3" t="s">
        <v>25</v>
      </c>
      <c r="D25" s="286" t="s">
        <v>24</v>
      </c>
      <c r="E25" s="4">
        <f t="shared" ref="E25:F25" si="14">SUM(E19,E22)</f>
        <v>6255.75</v>
      </c>
      <c r="F25" s="4">
        <f t="shared" si="14"/>
        <v>4000</v>
      </c>
      <c r="G25" s="4">
        <f>SUM(G19,G22)</f>
        <v>10500.65</v>
      </c>
      <c r="H25" s="263">
        <f t="shared" si="6"/>
        <v>167.85597250529511</v>
      </c>
      <c r="I25" s="263">
        <f t="shared" si="7"/>
        <v>262.51625000000001</v>
      </c>
      <c r="J25" s="267"/>
      <c r="K25" s="267"/>
      <c r="L25" s="267"/>
      <c r="M25" s="267"/>
      <c r="N25" s="267"/>
      <c r="O25" s="267"/>
      <c r="P25" s="267"/>
      <c r="Q25" s="267"/>
    </row>
    <row r="26" spans="1:17" s="271" customFormat="1" ht="42" customHeight="1" x14ac:dyDescent="0.2">
      <c r="A26" s="272"/>
      <c r="B26" s="13" t="s">
        <v>286</v>
      </c>
      <c r="C26" s="8"/>
      <c r="D26" s="243" t="s">
        <v>8</v>
      </c>
      <c r="E26" s="14">
        <f>E27</f>
        <v>0</v>
      </c>
      <c r="F26" s="14">
        <f t="shared" ref="F26:G26" si="15">F27</f>
        <v>900</v>
      </c>
      <c r="G26" s="14">
        <f t="shared" si="15"/>
        <v>900</v>
      </c>
      <c r="H26" s="263"/>
      <c r="I26" s="263"/>
      <c r="J26" s="270"/>
      <c r="K26" s="270"/>
      <c r="L26" s="270"/>
      <c r="M26" s="270"/>
      <c r="N26" s="270"/>
      <c r="O26" s="270"/>
      <c r="P26" s="270"/>
      <c r="Q26" s="270"/>
    </row>
    <row r="27" spans="1:17" s="270" customFormat="1" ht="45" x14ac:dyDescent="0.2">
      <c r="A27" s="232"/>
      <c r="B27" s="288">
        <v>663</v>
      </c>
      <c r="C27" s="290"/>
      <c r="D27" s="291" t="s">
        <v>220</v>
      </c>
      <c r="E27" s="226">
        <f>SUM(E28)</f>
        <v>0</v>
      </c>
      <c r="F27" s="226">
        <f t="shared" ref="F27:G27" si="16">SUM(F28)</f>
        <v>900</v>
      </c>
      <c r="G27" s="226">
        <f t="shared" si="16"/>
        <v>900</v>
      </c>
      <c r="H27" s="263"/>
      <c r="I27" s="263"/>
    </row>
    <row r="28" spans="1:17" s="271" customFormat="1" ht="30.75" customHeight="1" x14ac:dyDescent="0.2">
      <c r="A28" s="277"/>
      <c r="B28" s="235">
        <v>6631</v>
      </c>
      <c r="C28" s="255"/>
      <c r="D28" s="287" t="s">
        <v>217</v>
      </c>
      <c r="E28" s="256">
        <v>0</v>
      </c>
      <c r="F28" s="256">
        <v>900</v>
      </c>
      <c r="G28" s="256">
        <v>900</v>
      </c>
      <c r="H28" s="263"/>
      <c r="I28" s="263"/>
      <c r="J28" s="270"/>
      <c r="K28" s="270"/>
      <c r="L28" s="270"/>
      <c r="M28" s="270"/>
      <c r="N28" s="270"/>
      <c r="O28" s="270"/>
      <c r="P28" s="270"/>
      <c r="Q28" s="270"/>
    </row>
    <row r="29" spans="1:17" s="268" customFormat="1" x14ac:dyDescent="0.2">
      <c r="A29" s="274"/>
      <c r="B29" s="285"/>
      <c r="C29" s="3" t="s">
        <v>26</v>
      </c>
      <c r="D29" s="286" t="s">
        <v>27</v>
      </c>
      <c r="E29" s="4">
        <f>SUM(E28)</f>
        <v>0</v>
      </c>
      <c r="F29" s="4">
        <f t="shared" ref="F29:G29" si="17">SUM(F28)</f>
        <v>900</v>
      </c>
      <c r="G29" s="4">
        <f t="shared" si="17"/>
        <v>900</v>
      </c>
      <c r="H29" s="387"/>
      <c r="I29" s="387"/>
      <c r="J29" s="267"/>
      <c r="K29" s="267"/>
      <c r="L29" s="267"/>
      <c r="M29" s="267"/>
      <c r="N29" s="267"/>
      <c r="O29" s="267"/>
      <c r="P29" s="267"/>
      <c r="Q29" s="267"/>
    </row>
    <row r="30" spans="1:17" s="271" customFormat="1" ht="42" customHeight="1" x14ac:dyDescent="0.2">
      <c r="A30" s="272"/>
      <c r="B30" s="13">
        <v>67</v>
      </c>
      <c r="C30" s="8"/>
      <c r="D30" s="243" t="s">
        <v>4</v>
      </c>
      <c r="E30" s="14">
        <f>SUM(E31)</f>
        <v>393666.37000000005</v>
      </c>
      <c r="F30" s="14">
        <f t="shared" ref="F30" si="18">SUM(F31)</f>
        <v>500126</v>
      </c>
      <c r="G30" s="14">
        <f>SUM(G31)</f>
        <v>489072.94999999995</v>
      </c>
      <c r="H30" s="263">
        <f t="shared" si="6"/>
        <v>124.23538998263932</v>
      </c>
      <c r="I30" s="263">
        <f t="shared" si="7"/>
        <v>97.789946933372789</v>
      </c>
      <c r="J30" s="270"/>
      <c r="K30" s="270"/>
      <c r="L30" s="270"/>
      <c r="M30" s="270"/>
      <c r="N30" s="270"/>
      <c r="O30" s="270"/>
      <c r="P30" s="270"/>
      <c r="Q30" s="270"/>
    </row>
    <row r="31" spans="1:17" s="268" customFormat="1" ht="45" x14ac:dyDescent="0.2">
      <c r="A31" s="272"/>
      <c r="B31" s="13" t="s">
        <v>205</v>
      </c>
      <c r="C31" s="8"/>
      <c r="D31" s="243" t="s">
        <v>55</v>
      </c>
      <c r="E31" s="14">
        <f>SUM(E32:E33)</f>
        <v>393666.37000000005</v>
      </c>
      <c r="F31" s="14">
        <f t="shared" ref="F31:G31" si="19">SUM(F32:F33)</f>
        <v>500126</v>
      </c>
      <c r="G31" s="14">
        <f t="shared" si="19"/>
        <v>489072.94999999995</v>
      </c>
      <c r="H31" s="263"/>
      <c r="I31" s="263"/>
      <c r="J31" s="267"/>
      <c r="K31" s="267"/>
      <c r="L31" s="267"/>
      <c r="M31" s="267"/>
      <c r="N31" s="267"/>
      <c r="O31" s="267"/>
      <c r="P31" s="267"/>
      <c r="Q31" s="267"/>
    </row>
    <row r="32" spans="1:17" s="271" customFormat="1" ht="30" x14ac:dyDescent="0.2">
      <c r="A32" s="273"/>
      <c r="B32" s="235" t="s">
        <v>206</v>
      </c>
      <c r="C32" s="1"/>
      <c r="D32" s="238" t="s">
        <v>207</v>
      </c>
      <c r="E32" s="2">
        <v>384356.53</v>
      </c>
      <c r="F32" s="2">
        <v>492475</v>
      </c>
      <c r="G32" s="2">
        <f>455621.72+25800.85</f>
        <v>481422.56999999995</v>
      </c>
      <c r="H32" s="263"/>
      <c r="I32" s="263"/>
      <c r="J32" s="270"/>
      <c r="K32" s="270"/>
      <c r="L32" s="270"/>
      <c r="M32" s="270"/>
      <c r="N32" s="270"/>
      <c r="O32" s="270"/>
      <c r="P32" s="270"/>
      <c r="Q32" s="270"/>
    </row>
    <row r="33" spans="1:17" s="268" customFormat="1" ht="45" x14ac:dyDescent="0.2">
      <c r="A33" s="273"/>
      <c r="B33" s="235" t="s">
        <v>208</v>
      </c>
      <c r="C33" s="1"/>
      <c r="D33" s="238" t="s">
        <v>209</v>
      </c>
      <c r="E33" s="2">
        <v>9309.84</v>
      </c>
      <c r="F33" s="2">
        <v>7651</v>
      </c>
      <c r="G33" s="2">
        <v>7650.38</v>
      </c>
      <c r="H33" s="263"/>
      <c r="I33" s="263"/>
      <c r="J33" s="267"/>
      <c r="K33" s="267"/>
      <c r="L33" s="267"/>
      <c r="M33" s="267"/>
      <c r="N33" s="267"/>
      <c r="O33" s="267"/>
      <c r="P33" s="267"/>
      <c r="Q33" s="267"/>
    </row>
    <row r="34" spans="1:17" s="268" customFormat="1" x14ac:dyDescent="0.2">
      <c r="A34" s="274"/>
      <c r="B34" s="274"/>
      <c r="C34" s="3" t="s">
        <v>28</v>
      </c>
      <c r="D34" s="286" t="s">
        <v>29</v>
      </c>
      <c r="E34" s="4">
        <f>SUM(E30)</f>
        <v>393666.37000000005</v>
      </c>
      <c r="F34" s="4">
        <f>SUM(F30)</f>
        <v>500126</v>
      </c>
      <c r="G34" s="4">
        <f>SUM(G30)</f>
        <v>489072.94999999995</v>
      </c>
      <c r="H34" s="387">
        <f t="shared" si="6"/>
        <v>124.23538998263932</v>
      </c>
      <c r="I34" s="387">
        <f t="shared" si="7"/>
        <v>97.789946933372789</v>
      </c>
      <c r="J34" s="267"/>
      <c r="K34" s="267"/>
      <c r="L34" s="267"/>
      <c r="M34" s="267"/>
      <c r="N34" s="267"/>
      <c r="O34" s="267"/>
      <c r="P34" s="267"/>
      <c r="Q34" s="267"/>
    </row>
    <row r="35" spans="1:17" s="268" customFormat="1" x14ac:dyDescent="0.2">
      <c r="A35" s="458" t="s">
        <v>47</v>
      </c>
      <c r="B35" s="458"/>
      <c r="C35" s="458"/>
      <c r="D35" s="458"/>
      <c r="E35" s="15">
        <f>SUM(E14,E18,E25,E29,E34)</f>
        <v>419214.28</v>
      </c>
      <c r="F35" s="15">
        <f>SUM(F14,F18,F25,F29,F34)</f>
        <v>511825</v>
      </c>
      <c r="G35" s="15">
        <f>SUM(G14,G18,G25,G29,G34)</f>
        <v>506869.27999999997</v>
      </c>
      <c r="H35" s="263">
        <f t="shared" si="6"/>
        <v>120.90935451912561</v>
      </c>
      <c r="I35" s="263">
        <f t="shared" si="7"/>
        <v>99.031754994382837</v>
      </c>
      <c r="J35" s="267"/>
      <c r="K35" s="267"/>
      <c r="L35" s="267"/>
      <c r="M35" s="267"/>
      <c r="N35" s="267"/>
      <c r="O35" s="267"/>
      <c r="P35" s="267"/>
      <c r="Q35" s="267"/>
    </row>
    <row r="36" spans="1:17" s="268" customFormat="1" x14ac:dyDescent="0.2">
      <c r="A36" s="7"/>
      <c r="B36" s="7"/>
      <c r="C36" s="7"/>
      <c r="D36" s="7"/>
      <c r="E36" s="157"/>
      <c r="F36" s="157"/>
      <c r="G36" s="157"/>
      <c r="H36" s="267"/>
      <c r="I36" s="267"/>
      <c r="J36" s="267"/>
      <c r="K36" s="267"/>
      <c r="L36" s="267"/>
      <c r="M36" s="267"/>
      <c r="N36" s="267"/>
      <c r="O36" s="267"/>
      <c r="P36" s="267"/>
      <c r="Q36" s="267"/>
    </row>
    <row r="37" spans="1:17" s="271" customFormat="1" ht="15.75" customHeight="1" x14ac:dyDescent="0.2">
      <c r="A37" s="276"/>
      <c r="B37" s="7"/>
      <c r="C37" s="7"/>
      <c r="D37" s="7"/>
      <c r="E37" s="7"/>
      <c r="F37" s="7"/>
      <c r="G37" s="7"/>
      <c r="H37" s="267"/>
      <c r="I37" s="267"/>
      <c r="J37" s="270"/>
      <c r="K37" s="270"/>
      <c r="L37" s="270"/>
      <c r="M37" s="270"/>
      <c r="N37" s="270"/>
      <c r="O37" s="270"/>
      <c r="P37" s="270"/>
      <c r="Q37" s="270"/>
    </row>
    <row r="38" spans="1:17" s="271" customFormat="1" ht="15.75" customHeight="1" x14ac:dyDescent="0.2">
      <c r="A38" s="276"/>
      <c r="B38" s="7"/>
      <c r="C38" s="7"/>
      <c r="D38" s="7"/>
      <c r="E38" s="7"/>
      <c r="F38" s="7"/>
      <c r="G38" s="7"/>
      <c r="H38" s="267"/>
      <c r="I38" s="267"/>
      <c r="J38" s="270"/>
      <c r="K38" s="270"/>
      <c r="L38" s="270"/>
      <c r="M38" s="270"/>
      <c r="N38" s="270"/>
      <c r="O38" s="270"/>
      <c r="P38" s="270"/>
      <c r="Q38" s="270"/>
    </row>
    <row r="39" spans="1:17" s="271" customFormat="1" ht="15.75" customHeight="1" x14ac:dyDescent="0.2">
      <c r="A39" s="276"/>
      <c r="B39" s="7"/>
      <c r="C39" s="7"/>
      <c r="D39" s="7"/>
      <c r="E39" s="7"/>
      <c r="F39" s="7"/>
      <c r="G39" s="7"/>
      <c r="H39" s="267"/>
      <c r="I39" s="267"/>
      <c r="J39" s="270"/>
      <c r="K39" s="270"/>
      <c r="L39" s="270"/>
      <c r="M39" s="270"/>
      <c r="N39" s="270"/>
      <c r="O39" s="270"/>
      <c r="P39" s="270"/>
      <c r="Q39" s="270"/>
    </row>
    <row r="40" spans="1:17" s="271" customFormat="1" ht="15.75" customHeight="1" x14ac:dyDescent="0.2">
      <c r="A40" s="276"/>
      <c r="B40" s="7"/>
      <c r="C40" s="7"/>
      <c r="D40" s="7"/>
      <c r="E40" s="7"/>
      <c r="F40" s="7"/>
      <c r="G40" s="7"/>
      <c r="H40" s="267"/>
      <c r="I40" s="267"/>
      <c r="J40" s="270"/>
      <c r="K40" s="270"/>
      <c r="L40" s="270"/>
      <c r="M40" s="270"/>
      <c r="N40" s="270"/>
      <c r="O40" s="270"/>
      <c r="P40" s="270"/>
      <c r="Q40" s="270"/>
    </row>
    <row r="41" spans="1:17" s="268" customFormat="1" ht="15.75" x14ac:dyDescent="0.2">
      <c r="A41" s="456" t="s">
        <v>251</v>
      </c>
      <c r="B41" s="457"/>
      <c r="C41" s="457"/>
      <c r="D41" s="457"/>
      <c r="E41" s="457"/>
      <c r="F41" s="457"/>
      <c r="G41" s="457"/>
      <c r="H41" s="457"/>
      <c r="I41" s="457"/>
      <c r="J41" s="267"/>
      <c r="K41" s="267"/>
      <c r="L41" s="267"/>
      <c r="M41" s="267"/>
      <c r="N41" s="267"/>
      <c r="O41" s="267"/>
      <c r="P41" s="267"/>
      <c r="Q41" s="267"/>
    </row>
    <row r="42" spans="1:17" s="268" customFormat="1" ht="60" x14ac:dyDescent="0.2">
      <c r="A42" s="257" t="s">
        <v>20</v>
      </c>
      <c r="B42" s="257" t="s">
        <v>204</v>
      </c>
      <c r="C42" s="257" t="s">
        <v>30</v>
      </c>
      <c r="D42" s="196" t="s">
        <v>3</v>
      </c>
      <c r="E42" s="262" t="s">
        <v>172</v>
      </c>
      <c r="F42" s="262" t="s">
        <v>173</v>
      </c>
      <c r="G42" s="262" t="s">
        <v>174</v>
      </c>
      <c r="H42" s="257" t="s">
        <v>185</v>
      </c>
      <c r="I42" s="257" t="s">
        <v>185</v>
      </c>
      <c r="J42" s="267"/>
      <c r="K42" s="267"/>
      <c r="L42" s="267"/>
      <c r="M42" s="267"/>
      <c r="N42" s="267"/>
      <c r="O42" s="267"/>
      <c r="P42" s="267"/>
      <c r="Q42" s="267"/>
    </row>
    <row r="43" spans="1:17" s="268" customFormat="1" x14ac:dyDescent="0.2">
      <c r="A43" s="455">
        <v>1</v>
      </c>
      <c r="B43" s="455"/>
      <c r="C43" s="455"/>
      <c r="D43" s="455"/>
      <c r="E43" s="258">
        <v>2</v>
      </c>
      <c r="F43" s="269">
        <v>3</v>
      </c>
      <c r="G43" s="269">
        <v>4</v>
      </c>
      <c r="H43" s="258" t="s">
        <v>203</v>
      </c>
      <c r="I43" s="223" t="s">
        <v>202</v>
      </c>
      <c r="J43" s="267"/>
      <c r="K43" s="267"/>
      <c r="L43" s="267"/>
      <c r="M43" s="267"/>
      <c r="N43" s="267"/>
      <c r="O43" s="267"/>
      <c r="P43" s="267"/>
      <c r="Q43" s="267"/>
    </row>
    <row r="44" spans="1:17" s="268" customFormat="1" x14ac:dyDescent="0.2">
      <c r="A44" s="259">
        <v>3</v>
      </c>
      <c r="B44" s="259"/>
      <c r="C44" s="260"/>
      <c r="D44" s="261" t="s">
        <v>33</v>
      </c>
      <c r="E44" s="16">
        <f>SUM(E86,E110,E125,E140,E148)</f>
        <v>399331.27400000009</v>
      </c>
      <c r="F44" s="16">
        <f>SUM(F86,F110,F125,F140,F148)</f>
        <v>525189.30000000005</v>
      </c>
      <c r="G44" s="16">
        <f>SUM(G86,G110,G125,G140,G148)</f>
        <v>506968.8899999999</v>
      </c>
      <c r="H44" s="230">
        <f t="shared" ref="H44:H125" si="20">SUM(G44/E44*100)</f>
        <v>126.95446688205037</v>
      </c>
      <c r="I44" s="230">
        <f t="shared" ref="I44:I114" si="21">SUM(G44/F44*100)</f>
        <v>96.530696645952204</v>
      </c>
      <c r="J44" s="267"/>
      <c r="K44" s="267"/>
      <c r="L44" s="267"/>
      <c r="M44" s="267"/>
      <c r="N44" s="267"/>
      <c r="O44" s="267"/>
      <c r="P44" s="267"/>
      <c r="Q44" s="267"/>
    </row>
    <row r="45" spans="1:17" s="271" customFormat="1" x14ac:dyDescent="0.2">
      <c r="A45" s="233"/>
      <c r="B45" s="227">
        <v>31</v>
      </c>
      <c r="C45" s="233"/>
      <c r="D45" s="11" t="s">
        <v>5</v>
      </c>
      <c r="E45" s="12">
        <f>SUM(E46,E49,E51)</f>
        <v>285181.97000000003</v>
      </c>
      <c r="F45" s="12">
        <f>SUM(F46,F49,F51)</f>
        <v>381850</v>
      </c>
      <c r="G45" s="12">
        <f>SUM(G46,G49,G51)</f>
        <v>375449.62999999995</v>
      </c>
      <c r="H45" s="241">
        <f t="shared" si="20"/>
        <v>131.65265321647084</v>
      </c>
      <c r="I45" s="241">
        <f t="shared" si="21"/>
        <v>98.323852298022771</v>
      </c>
      <c r="J45" s="270"/>
      <c r="K45" s="270"/>
      <c r="L45" s="270"/>
      <c r="M45" s="270"/>
      <c r="N45" s="270"/>
      <c r="O45" s="270"/>
      <c r="P45" s="270"/>
      <c r="Q45" s="270"/>
    </row>
    <row r="46" spans="1:17" s="279" customFormat="1" x14ac:dyDescent="0.2">
      <c r="A46" s="232"/>
      <c r="B46" s="228">
        <v>311</v>
      </c>
      <c r="C46" s="234"/>
      <c r="D46" s="232" t="s">
        <v>95</v>
      </c>
      <c r="E46" s="226">
        <f t="shared" ref="E46:F46" si="22">SUM(E47:E48)</f>
        <v>235331.07</v>
      </c>
      <c r="F46" s="226">
        <f t="shared" si="22"/>
        <v>318241</v>
      </c>
      <c r="G46" s="226">
        <f>SUM(G47:G48)</f>
        <v>315572.90999999997</v>
      </c>
      <c r="H46" s="230"/>
      <c r="I46" s="230"/>
      <c r="J46" s="278"/>
      <c r="K46" s="278"/>
      <c r="L46" s="278"/>
      <c r="M46" s="278"/>
      <c r="N46" s="278"/>
      <c r="O46" s="278"/>
      <c r="P46" s="278"/>
      <c r="Q46" s="278"/>
    </row>
    <row r="47" spans="1:17" s="279" customFormat="1" x14ac:dyDescent="0.2">
      <c r="A47" s="234"/>
      <c r="B47" s="229">
        <v>3111</v>
      </c>
      <c r="C47" s="234"/>
      <c r="D47" s="234" t="s">
        <v>175</v>
      </c>
      <c r="E47" s="230">
        <v>234891.91</v>
      </c>
      <c r="F47" s="230">
        <f>SUM(POSEBNI_DIO_!C12)</f>
        <v>318100</v>
      </c>
      <c r="G47" s="230">
        <f>SUM(POSEBNI_DIO_!D12)</f>
        <v>315432.28999999998</v>
      </c>
      <c r="H47" s="226"/>
      <c r="I47" s="226"/>
      <c r="J47" s="278"/>
      <c r="K47" s="278"/>
      <c r="L47" s="278"/>
      <c r="M47" s="278"/>
      <c r="N47" s="278"/>
      <c r="O47" s="278"/>
      <c r="P47" s="278"/>
      <c r="Q47" s="278"/>
    </row>
    <row r="48" spans="1:17" s="279" customFormat="1" x14ac:dyDescent="0.2">
      <c r="A48" s="234"/>
      <c r="B48" s="229">
        <v>3114</v>
      </c>
      <c r="C48" s="234"/>
      <c r="D48" s="234" t="s">
        <v>259</v>
      </c>
      <c r="E48" s="230">
        <v>439.16</v>
      </c>
      <c r="F48" s="230">
        <f>SUM(POSEBNI_DIO_!C13)</f>
        <v>141</v>
      </c>
      <c r="G48" s="230">
        <f>SUM(POSEBNI_DIO_!D13)</f>
        <v>140.62</v>
      </c>
      <c r="H48" s="226"/>
      <c r="I48" s="226"/>
      <c r="J48" s="278"/>
      <c r="K48" s="278"/>
      <c r="L48" s="278"/>
      <c r="M48" s="278"/>
      <c r="N48" s="278"/>
      <c r="O48" s="278"/>
      <c r="P48" s="278"/>
      <c r="Q48" s="278"/>
    </row>
    <row r="49" spans="1:17" s="279" customFormat="1" x14ac:dyDescent="0.2">
      <c r="A49" s="232"/>
      <c r="B49" s="228">
        <v>312</v>
      </c>
      <c r="C49" s="234"/>
      <c r="D49" s="232" t="s">
        <v>260</v>
      </c>
      <c r="E49" s="226">
        <f>SUM(E50)</f>
        <v>11060.6</v>
      </c>
      <c r="F49" s="226">
        <f>SUM(F50)</f>
        <v>14000</v>
      </c>
      <c r="G49" s="226">
        <f>SUM(G50)</f>
        <v>10781.86</v>
      </c>
      <c r="H49" s="226"/>
      <c r="I49" s="230"/>
      <c r="J49" s="278"/>
      <c r="K49" s="278"/>
      <c r="L49" s="278"/>
      <c r="M49" s="278"/>
      <c r="N49" s="278"/>
      <c r="O49" s="278"/>
      <c r="P49" s="278"/>
      <c r="Q49" s="278"/>
    </row>
    <row r="50" spans="1:17" s="279" customFormat="1" x14ac:dyDescent="0.2">
      <c r="A50" s="234"/>
      <c r="B50" s="229">
        <v>3121</v>
      </c>
      <c r="C50" s="234"/>
      <c r="D50" s="234" t="s">
        <v>260</v>
      </c>
      <c r="E50" s="230">
        <v>11060.6</v>
      </c>
      <c r="F50" s="230">
        <f>SUM(POSEBNI_DIO_!C15,)</f>
        <v>14000</v>
      </c>
      <c r="G50" s="230">
        <f>SUM(POSEBNI_DIO_!D15)</f>
        <v>10781.86</v>
      </c>
      <c r="H50" s="226"/>
      <c r="I50" s="226"/>
      <c r="J50" s="278"/>
      <c r="K50" s="278"/>
      <c r="L50" s="278"/>
      <c r="M50" s="278"/>
      <c r="N50" s="278"/>
      <c r="O50" s="278"/>
      <c r="P50" s="278"/>
      <c r="Q50" s="278"/>
    </row>
    <row r="51" spans="1:17" s="268" customFormat="1" x14ac:dyDescent="0.2">
      <c r="A51" s="232"/>
      <c r="B51" s="13">
        <v>313</v>
      </c>
      <c r="C51" s="232"/>
      <c r="D51" s="232" t="s">
        <v>96</v>
      </c>
      <c r="E51" s="231">
        <f>SUM(E52:E52)</f>
        <v>38790.300000000003</v>
      </c>
      <c r="F51" s="231">
        <f>SUM(F52:F52)</f>
        <v>49609</v>
      </c>
      <c r="G51" s="231">
        <f>SUM(G52:G52)</f>
        <v>49094.86</v>
      </c>
      <c r="H51" s="230"/>
      <c r="I51" s="248"/>
      <c r="J51" s="267"/>
      <c r="K51" s="267"/>
      <c r="L51" s="267"/>
      <c r="M51" s="267"/>
      <c r="N51" s="267"/>
      <c r="O51" s="267"/>
      <c r="P51" s="267"/>
      <c r="Q51" s="267"/>
    </row>
    <row r="52" spans="1:17" s="271" customFormat="1" x14ac:dyDescent="0.2">
      <c r="A52" s="234"/>
      <c r="B52" s="235">
        <v>3132</v>
      </c>
      <c r="C52" s="234"/>
      <c r="D52" s="234" t="s">
        <v>176</v>
      </c>
      <c r="E52" s="242">
        <v>38790.300000000003</v>
      </c>
      <c r="F52" s="242">
        <f>SUM(POSEBNI_DIO_!C17,)</f>
        <v>49609</v>
      </c>
      <c r="G52" s="242">
        <f>SUM(POSEBNI_DIO_!D17,)</f>
        <v>49094.86</v>
      </c>
      <c r="H52" s="230"/>
      <c r="I52" s="248"/>
      <c r="J52" s="270"/>
      <c r="K52" s="270"/>
      <c r="L52" s="270"/>
      <c r="M52" s="270"/>
      <c r="N52" s="270"/>
      <c r="O52" s="270"/>
      <c r="P52" s="270"/>
      <c r="Q52" s="270"/>
    </row>
    <row r="53" spans="1:17" s="268" customFormat="1" x14ac:dyDescent="0.2">
      <c r="A53" s="233"/>
      <c r="B53" s="227">
        <v>32</v>
      </c>
      <c r="C53" s="233"/>
      <c r="D53" s="11" t="s">
        <v>6</v>
      </c>
      <c r="E53" s="12">
        <f>SUM(E54,E59,E64,E74,E76)</f>
        <v>98538.15400000001</v>
      </c>
      <c r="F53" s="12">
        <f>SUM(F54,F59,F64,F74,F76)</f>
        <v>109875</v>
      </c>
      <c r="G53" s="12">
        <f t="shared" ref="G53" si="23">SUM(G54,G59,G64,G74,G76)</f>
        <v>105338.53000000001</v>
      </c>
      <c r="H53" s="241">
        <f>SUM(G53/E53*100)</f>
        <v>106.90126181986319</v>
      </c>
      <c r="I53" s="241">
        <f t="shared" si="21"/>
        <v>95.871244596131973</v>
      </c>
      <c r="J53" s="267"/>
      <c r="K53" s="267"/>
      <c r="L53" s="267"/>
      <c r="M53" s="267"/>
      <c r="N53" s="267"/>
      <c r="O53" s="267"/>
      <c r="P53" s="267"/>
      <c r="Q53" s="267"/>
    </row>
    <row r="54" spans="1:17" s="281" customFormat="1" x14ac:dyDescent="0.2">
      <c r="A54" s="232"/>
      <c r="B54" s="228">
        <v>321</v>
      </c>
      <c r="C54" s="232"/>
      <c r="D54" s="232" t="s">
        <v>102</v>
      </c>
      <c r="E54" s="226">
        <f>SUM(E55:E58)</f>
        <v>7479.67</v>
      </c>
      <c r="F54" s="226">
        <f>SUM(F55:F58)</f>
        <v>11203</v>
      </c>
      <c r="G54" s="226">
        <f>SUM(G55:G58)</f>
        <v>9837.43</v>
      </c>
      <c r="H54" s="230"/>
      <c r="I54" s="230"/>
      <c r="J54" s="280"/>
      <c r="K54" s="280"/>
      <c r="L54" s="280"/>
      <c r="M54" s="280"/>
      <c r="N54" s="280"/>
      <c r="O54" s="280"/>
      <c r="P54" s="280"/>
      <c r="Q54" s="280"/>
    </row>
    <row r="55" spans="1:17" s="268" customFormat="1" x14ac:dyDescent="0.2">
      <c r="A55" s="234"/>
      <c r="B55" s="229" t="s">
        <v>177</v>
      </c>
      <c r="C55" s="234"/>
      <c r="D55" s="234" t="s">
        <v>178</v>
      </c>
      <c r="E55" s="230">
        <v>2400.4699999999998</v>
      </c>
      <c r="F55" s="230">
        <f>SUM(POSEBNI_DIO_!C20,POSEBNI_DIO_!C119)</f>
        <v>3600</v>
      </c>
      <c r="G55" s="230">
        <f>SUM(POSEBNI_DIO_!D20,POSEBNI_DIO_!D119)</f>
        <v>3548.81</v>
      </c>
      <c r="H55" s="230"/>
      <c r="I55" s="230"/>
      <c r="J55" s="267"/>
      <c r="K55" s="267"/>
      <c r="L55" s="267"/>
      <c r="M55" s="267"/>
      <c r="N55" s="267"/>
      <c r="O55" s="267"/>
      <c r="P55" s="267"/>
      <c r="Q55" s="267"/>
    </row>
    <row r="56" spans="1:17" s="268" customFormat="1" x14ac:dyDescent="0.2">
      <c r="A56" s="234"/>
      <c r="B56" s="229" t="s">
        <v>179</v>
      </c>
      <c r="C56" s="234"/>
      <c r="D56" s="234" t="s">
        <v>110</v>
      </c>
      <c r="E56" s="230">
        <v>3962.12</v>
      </c>
      <c r="F56" s="230">
        <f>SUM(POSEBNI_DIO_!C21,)</f>
        <v>5675</v>
      </c>
      <c r="G56" s="230">
        <f>SUM(POSEBNI_DIO_!D21,)</f>
        <v>5362.58</v>
      </c>
      <c r="H56" s="230"/>
      <c r="I56" s="230"/>
      <c r="J56" s="267"/>
      <c r="K56" s="267"/>
      <c r="L56" s="267"/>
      <c r="M56" s="267"/>
      <c r="N56" s="267"/>
      <c r="O56" s="267"/>
      <c r="P56" s="267"/>
      <c r="Q56" s="267"/>
    </row>
    <row r="57" spans="1:17" s="268" customFormat="1" x14ac:dyDescent="0.2">
      <c r="A57" s="234"/>
      <c r="B57" s="229">
        <v>3213</v>
      </c>
      <c r="C57" s="234"/>
      <c r="D57" s="234" t="s">
        <v>111</v>
      </c>
      <c r="E57" s="230">
        <v>1117.08</v>
      </c>
      <c r="F57" s="230">
        <f>SUM(POSEBNI_DIO_!C22)</f>
        <v>1550</v>
      </c>
      <c r="G57" s="230">
        <f>SUM(POSEBNI_DIO_!D22)</f>
        <v>926.04</v>
      </c>
      <c r="H57" s="230"/>
      <c r="I57" s="230"/>
      <c r="J57" s="267"/>
      <c r="K57" s="267"/>
      <c r="L57" s="267"/>
      <c r="M57" s="267"/>
      <c r="N57" s="267"/>
      <c r="O57" s="267"/>
      <c r="P57" s="267"/>
      <c r="Q57" s="267"/>
    </row>
    <row r="58" spans="1:17" s="268" customFormat="1" ht="31.5" x14ac:dyDescent="0.2">
      <c r="A58" s="234"/>
      <c r="B58" s="229" t="s">
        <v>288</v>
      </c>
      <c r="C58" s="234"/>
      <c r="D58" s="347" t="s">
        <v>289</v>
      </c>
      <c r="E58" s="230">
        <v>0</v>
      </c>
      <c r="F58" s="230">
        <f>SUM(POSEBNI_DIO_!C23)+POSEBNI_DIO_!C120</f>
        <v>378</v>
      </c>
      <c r="G58" s="230"/>
      <c r="H58" s="230"/>
      <c r="I58" s="230"/>
      <c r="J58" s="267"/>
      <c r="K58" s="267"/>
      <c r="L58" s="267"/>
      <c r="M58" s="267"/>
      <c r="N58" s="267"/>
      <c r="O58" s="267"/>
      <c r="P58" s="267"/>
      <c r="Q58" s="267"/>
    </row>
    <row r="59" spans="1:17" s="281" customFormat="1" x14ac:dyDescent="0.2">
      <c r="A59" s="232"/>
      <c r="B59" s="228">
        <v>322</v>
      </c>
      <c r="C59" s="232"/>
      <c r="D59" s="232" t="s">
        <v>103</v>
      </c>
      <c r="E59" s="226">
        <f t="shared" ref="E59:F59" si="24">SUM(E60:E63)</f>
        <v>24383.190000000002</v>
      </c>
      <c r="F59" s="226">
        <f t="shared" si="24"/>
        <v>25365</v>
      </c>
      <c r="G59" s="226">
        <f>SUM(G60:G63)</f>
        <v>22675.910000000003</v>
      </c>
      <c r="H59" s="230"/>
      <c r="I59" s="230"/>
      <c r="J59" s="280"/>
      <c r="K59" s="280"/>
      <c r="L59" s="280"/>
      <c r="M59" s="280"/>
      <c r="N59" s="280"/>
      <c r="O59" s="280"/>
      <c r="P59" s="280"/>
      <c r="Q59" s="280"/>
    </row>
    <row r="60" spans="1:17" s="268" customFormat="1" ht="31.5" x14ac:dyDescent="0.2">
      <c r="A60" s="234"/>
      <c r="B60" s="353" t="s">
        <v>180</v>
      </c>
      <c r="C60" s="234"/>
      <c r="D60" s="354" t="s">
        <v>120</v>
      </c>
      <c r="E60" s="230">
        <v>5768.85</v>
      </c>
      <c r="F60" s="230">
        <f>SUM(POSEBNI_DIO_!C25,POSEBNI_DIO_!C122,)</f>
        <v>4012</v>
      </c>
      <c r="G60" s="230">
        <f>SUM(POSEBNI_DIO_!D25,POSEBNI_DIO_!D122,)</f>
        <v>7983.82</v>
      </c>
      <c r="H60" s="230"/>
      <c r="I60" s="264"/>
      <c r="J60" s="267"/>
      <c r="K60" s="267"/>
      <c r="L60" s="267"/>
      <c r="M60" s="267"/>
      <c r="N60" s="267"/>
      <c r="O60" s="267"/>
      <c r="P60" s="267"/>
      <c r="Q60" s="267"/>
    </row>
    <row r="61" spans="1:17" s="268" customFormat="1" ht="15.75" x14ac:dyDescent="0.2">
      <c r="A61" s="234"/>
      <c r="B61" s="353" t="s">
        <v>181</v>
      </c>
      <c r="C61" s="234"/>
      <c r="D61" s="354" t="s">
        <v>182</v>
      </c>
      <c r="E61" s="230">
        <v>18521.12</v>
      </c>
      <c r="F61" s="230">
        <f>SUM(POSEBNI_DIO_!C26)</f>
        <v>20553</v>
      </c>
      <c r="G61" s="230">
        <f>SUM(POSEBNI_DIO_!D26)</f>
        <v>14100.87</v>
      </c>
      <c r="H61" s="230"/>
      <c r="I61" s="264"/>
      <c r="J61" s="267"/>
      <c r="K61" s="267"/>
      <c r="L61" s="267"/>
      <c r="M61" s="267"/>
      <c r="N61" s="267"/>
      <c r="O61" s="267"/>
      <c r="P61" s="267"/>
      <c r="Q61" s="267"/>
    </row>
    <row r="62" spans="1:17" s="268" customFormat="1" ht="31.5" x14ac:dyDescent="0.2">
      <c r="A62" s="234"/>
      <c r="B62" s="353" t="s">
        <v>183</v>
      </c>
      <c r="C62" s="234"/>
      <c r="D62" s="354" t="s">
        <v>184</v>
      </c>
      <c r="E62" s="230">
        <v>93.22</v>
      </c>
      <c r="F62" s="230">
        <f>SUM(POSEBNI_DIO_!C27)</f>
        <v>300</v>
      </c>
      <c r="G62" s="230">
        <f>SUM(POSEBNI_DIO_!D27)</f>
        <v>591.22</v>
      </c>
      <c r="H62" s="230"/>
      <c r="I62" s="264"/>
      <c r="J62" s="267"/>
      <c r="K62" s="267"/>
      <c r="L62" s="267"/>
      <c r="M62" s="267"/>
      <c r="N62" s="267"/>
      <c r="O62" s="267"/>
      <c r="P62" s="267"/>
      <c r="Q62" s="267"/>
    </row>
    <row r="63" spans="1:17" s="268" customFormat="1" ht="15.75" x14ac:dyDescent="0.2">
      <c r="A63" s="234"/>
      <c r="B63" s="353">
        <v>3225</v>
      </c>
      <c r="C63" s="234"/>
      <c r="D63" s="354" t="s">
        <v>112</v>
      </c>
      <c r="E63" s="230">
        <v>0</v>
      </c>
      <c r="F63" s="230">
        <f>SUM(POSEBNI_DIO_!C28)</f>
        <v>500</v>
      </c>
      <c r="G63" s="230">
        <f>SUM(POSEBNI_DIO_!D28)</f>
        <v>0</v>
      </c>
      <c r="H63" s="230"/>
      <c r="I63" s="264"/>
      <c r="J63" s="267"/>
      <c r="K63" s="267"/>
      <c r="L63" s="267"/>
      <c r="M63" s="267"/>
      <c r="N63" s="267"/>
      <c r="O63" s="267"/>
      <c r="P63" s="267"/>
      <c r="Q63" s="267"/>
    </row>
    <row r="64" spans="1:17" s="281" customFormat="1" x14ac:dyDescent="0.2">
      <c r="A64" s="232"/>
      <c r="B64" s="228">
        <v>323</v>
      </c>
      <c r="C64" s="232"/>
      <c r="D64" s="232" t="s">
        <v>89</v>
      </c>
      <c r="E64" s="226">
        <f>SUM(E65:E73)</f>
        <v>65890.760000000009</v>
      </c>
      <c r="F64" s="226">
        <f>SUM(F65:F73)</f>
        <v>71994</v>
      </c>
      <c r="G64" s="226">
        <f>SUM(G65:G73)</f>
        <v>71601.52</v>
      </c>
      <c r="H64" s="230"/>
      <c r="I64" s="230"/>
      <c r="J64" s="280"/>
      <c r="K64" s="280"/>
      <c r="L64" s="280"/>
      <c r="M64" s="280"/>
      <c r="N64" s="280"/>
      <c r="O64" s="280"/>
      <c r="P64" s="280"/>
      <c r="Q64" s="280"/>
    </row>
    <row r="65" spans="1:17" s="268" customFormat="1" ht="15.75" x14ac:dyDescent="0.2">
      <c r="A65" s="234"/>
      <c r="B65" s="323" t="s">
        <v>186</v>
      </c>
      <c r="C65" s="234"/>
      <c r="D65" s="347" t="s">
        <v>187</v>
      </c>
      <c r="E65" s="230">
        <v>2558.92</v>
      </c>
      <c r="F65" s="230">
        <f>SUM(POSEBNI_DIO_!C30,)</f>
        <v>2890</v>
      </c>
      <c r="G65" s="230">
        <f>SUM(POSEBNI_DIO_!D30,)</f>
        <v>2539.2800000000002</v>
      </c>
      <c r="H65" s="230"/>
      <c r="I65" s="264"/>
      <c r="J65" s="267"/>
      <c r="K65" s="267"/>
      <c r="L65" s="267"/>
      <c r="M65" s="267"/>
      <c r="N65" s="267"/>
      <c r="O65" s="267"/>
      <c r="P65" s="267"/>
      <c r="Q65" s="267"/>
    </row>
    <row r="66" spans="1:17" s="268" customFormat="1" ht="31.5" x14ac:dyDescent="0.2">
      <c r="A66" s="234"/>
      <c r="B66" s="323" t="s">
        <v>188</v>
      </c>
      <c r="C66" s="234"/>
      <c r="D66" s="347" t="s">
        <v>189</v>
      </c>
      <c r="E66" s="230">
        <v>8049.91</v>
      </c>
      <c r="F66" s="230">
        <f>SUM(POSEBNI_DIO_!C31,POSEBNI_DIO_!C124)</f>
        <v>10444</v>
      </c>
      <c r="G66" s="230">
        <f>SUM(POSEBNI_DIO_!D31,POSEBNI_DIO_!D124)</f>
        <v>10419.01</v>
      </c>
      <c r="H66" s="230"/>
      <c r="I66" s="264"/>
      <c r="J66" s="267"/>
      <c r="K66" s="267"/>
      <c r="L66" s="267"/>
      <c r="M66" s="267"/>
      <c r="N66" s="267"/>
      <c r="O66" s="267"/>
      <c r="P66" s="267"/>
      <c r="Q66" s="267"/>
    </row>
    <row r="67" spans="1:17" s="268" customFormat="1" ht="15.75" x14ac:dyDescent="0.2">
      <c r="A67" s="234"/>
      <c r="B67" s="323">
        <v>3233</v>
      </c>
      <c r="C67" s="234"/>
      <c r="D67" s="347" t="s">
        <v>265</v>
      </c>
      <c r="E67" s="230">
        <v>733</v>
      </c>
      <c r="F67" s="230">
        <f>SUM(POSEBNI_DIO_!C32)</f>
        <v>400</v>
      </c>
      <c r="G67" s="230">
        <f>SUM(POSEBNI_DIO_!D32)</f>
        <v>790</v>
      </c>
      <c r="H67" s="230"/>
      <c r="I67" s="264"/>
      <c r="J67" s="267"/>
      <c r="K67" s="267"/>
      <c r="L67" s="267"/>
      <c r="M67" s="267"/>
      <c r="N67" s="267"/>
      <c r="O67" s="267"/>
      <c r="P67" s="267"/>
      <c r="Q67" s="267"/>
    </row>
    <row r="68" spans="1:17" s="268" customFormat="1" ht="15.75" x14ac:dyDescent="0.2">
      <c r="A68" s="234"/>
      <c r="B68" s="323">
        <v>3234</v>
      </c>
      <c r="C68" s="234"/>
      <c r="D68" s="347" t="s">
        <v>190</v>
      </c>
      <c r="E68" s="230">
        <v>819.71</v>
      </c>
      <c r="F68" s="230">
        <f>SUM(POSEBNI_DIO_!C33)</f>
        <v>1400</v>
      </c>
      <c r="G68" s="230">
        <f>SUM(POSEBNI_DIO_!D33)</f>
        <v>806.44</v>
      </c>
      <c r="H68" s="230"/>
      <c r="I68" s="264"/>
      <c r="J68" s="267"/>
      <c r="K68" s="267"/>
      <c r="L68" s="267"/>
      <c r="M68" s="267"/>
      <c r="N68" s="267"/>
      <c r="O68" s="267"/>
      <c r="P68" s="267"/>
      <c r="Q68" s="267"/>
    </row>
    <row r="69" spans="1:17" s="268" customFormat="1" ht="15.75" x14ac:dyDescent="0.2">
      <c r="A69" s="234"/>
      <c r="B69" s="323">
        <v>3235</v>
      </c>
      <c r="C69" s="234"/>
      <c r="D69" s="347" t="s">
        <v>126</v>
      </c>
      <c r="E69" s="230">
        <v>15574.23</v>
      </c>
      <c r="F69" s="230">
        <f>SUM(POSEBNI_DIO_!C34)</f>
        <v>15569</v>
      </c>
      <c r="G69" s="230">
        <f>SUM(POSEBNI_DIO_!D34)</f>
        <v>15618.38</v>
      </c>
      <c r="H69" s="230"/>
      <c r="I69" s="264"/>
      <c r="J69" s="267"/>
      <c r="K69" s="267"/>
      <c r="L69" s="267"/>
      <c r="M69" s="267"/>
      <c r="N69" s="267"/>
      <c r="O69" s="267"/>
      <c r="P69" s="267"/>
      <c r="Q69" s="267"/>
    </row>
    <row r="70" spans="1:17" s="268" customFormat="1" ht="15.75" x14ac:dyDescent="0.2">
      <c r="A70" s="234"/>
      <c r="B70" s="323">
        <v>3236</v>
      </c>
      <c r="C70" s="234"/>
      <c r="D70" s="347" t="s">
        <v>290</v>
      </c>
      <c r="E70" s="230">
        <v>0</v>
      </c>
      <c r="F70" s="230">
        <f>SUM(POSEBNI_DIO_!C35)</f>
        <v>1440</v>
      </c>
      <c r="G70" s="230">
        <f>SUM(POSEBNI_DIO_!D35)</f>
        <v>730</v>
      </c>
      <c r="H70" s="230"/>
      <c r="I70" s="264"/>
      <c r="J70" s="267"/>
      <c r="K70" s="267"/>
      <c r="L70" s="267"/>
      <c r="M70" s="267"/>
      <c r="N70" s="267"/>
      <c r="O70" s="267"/>
      <c r="P70" s="267"/>
      <c r="Q70" s="267"/>
    </row>
    <row r="71" spans="1:17" s="268" customFormat="1" ht="15.75" x14ac:dyDescent="0.2">
      <c r="A71" s="234"/>
      <c r="B71" s="323">
        <v>3237</v>
      </c>
      <c r="C71" s="234"/>
      <c r="D71" s="347" t="s">
        <v>123</v>
      </c>
      <c r="E71" s="230">
        <v>4949.92</v>
      </c>
      <c r="F71" s="230">
        <f>SUM(POSEBNI_DIO_!C36,POSEBNI_DIO_!C125,)</f>
        <v>4604</v>
      </c>
      <c r="G71" s="230">
        <f>SUM(POSEBNI_DIO_!D36,POSEBNI_DIO_!D125,)</f>
        <v>7814.77</v>
      </c>
      <c r="H71" s="230"/>
      <c r="I71" s="264"/>
      <c r="J71" s="267"/>
      <c r="K71" s="267"/>
      <c r="L71" s="267"/>
      <c r="M71" s="267"/>
      <c r="N71" s="267"/>
      <c r="O71" s="267"/>
      <c r="P71" s="267"/>
      <c r="Q71" s="267"/>
    </row>
    <row r="72" spans="1:17" s="268" customFormat="1" ht="15.75" x14ac:dyDescent="0.2">
      <c r="A72" s="234"/>
      <c r="B72" s="323" t="s">
        <v>191</v>
      </c>
      <c r="C72" s="234"/>
      <c r="D72" s="347" t="s">
        <v>192</v>
      </c>
      <c r="E72" s="230">
        <v>10396.75</v>
      </c>
      <c r="F72" s="230">
        <f>SUM(POSEBNI_DIO_!C37,POSEBNI_DIO_!C126)</f>
        <v>11050</v>
      </c>
      <c r="G72" s="230">
        <f>SUM(POSEBNI_DIO_!D37,POSEBNI_DIO_!D126)</f>
        <v>10578.41</v>
      </c>
      <c r="H72" s="230"/>
      <c r="I72" s="264"/>
      <c r="J72" s="267"/>
      <c r="K72" s="267"/>
      <c r="L72" s="267"/>
      <c r="M72" s="267"/>
      <c r="N72" s="267"/>
      <c r="O72" s="267"/>
      <c r="P72" s="267"/>
      <c r="Q72" s="267"/>
    </row>
    <row r="73" spans="1:17" s="268" customFormat="1" ht="15.75" x14ac:dyDescent="0.2">
      <c r="A73" s="234"/>
      <c r="B73" s="323" t="s">
        <v>193</v>
      </c>
      <c r="C73" s="234"/>
      <c r="D73" s="347" t="s">
        <v>124</v>
      </c>
      <c r="E73" s="230">
        <v>22808.32</v>
      </c>
      <c r="F73" s="230">
        <f>SUM(POSEBNI_DIO_!C38,POSEBNI_DIO_!C127,)</f>
        <v>24197</v>
      </c>
      <c r="G73" s="230">
        <f>SUM(POSEBNI_DIO_!D38,POSEBNI_DIO_!D127,)</f>
        <v>22305.23</v>
      </c>
      <c r="H73" s="230"/>
      <c r="I73" s="264"/>
      <c r="J73" s="267"/>
      <c r="K73" s="267"/>
      <c r="L73" s="267"/>
      <c r="M73" s="267"/>
      <c r="N73" s="267"/>
      <c r="O73" s="267"/>
      <c r="P73" s="267"/>
      <c r="Q73" s="267"/>
    </row>
    <row r="74" spans="1:17" s="281" customFormat="1" ht="30" x14ac:dyDescent="0.2">
      <c r="A74" s="232"/>
      <c r="B74" s="228" t="s">
        <v>273</v>
      </c>
      <c r="C74" s="232"/>
      <c r="D74" s="243" t="s">
        <v>198</v>
      </c>
      <c r="E74" s="226">
        <f>SUM(E75)</f>
        <v>0</v>
      </c>
      <c r="F74" s="226">
        <f t="shared" ref="F74" si="25">SUM(F75)</f>
        <v>0</v>
      </c>
      <c r="G74" s="226">
        <f>SUM(G75)</f>
        <v>0</v>
      </c>
      <c r="H74" s="230"/>
      <c r="I74" s="230"/>
      <c r="J74" s="280"/>
      <c r="K74" s="280"/>
      <c r="L74" s="280"/>
      <c r="M74" s="280"/>
      <c r="N74" s="280"/>
      <c r="O74" s="280"/>
      <c r="P74" s="280"/>
      <c r="Q74" s="280"/>
    </row>
    <row r="75" spans="1:17" s="268" customFormat="1" ht="30" x14ac:dyDescent="0.2">
      <c r="A75" s="234"/>
      <c r="B75" s="323">
        <v>3241</v>
      </c>
      <c r="C75" s="234"/>
      <c r="D75" s="238" t="s">
        <v>198</v>
      </c>
      <c r="E75" s="230">
        <v>0</v>
      </c>
      <c r="F75" s="230">
        <v>0</v>
      </c>
      <c r="G75" s="230">
        <v>0</v>
      </c>
      <c r="H75" s="230"/>
      <c r="I75" s="264"/>
      <c r="J75" s="267"/>
      <c r="K75" s="267"/>
      <c r="L75" s="267"/>
      <c r="M75" s="267"/>
      <c r="N75" s="267"/>
      <c r="O75" s="267"/>
      <c r="P75" s="267"/>
      <c r="Q75" s="267"/>
    </row>
    <row r="76" spans="1:17" s="281" customFormat="1" x14ac:dyDescent="0.2">
      <c r="A76" s="232"/>
      <c r="B76" s="228">
        <v>329</v>
      </c>
      <c r="C76" s="232"/>
      <c r="D76" s="232" t="s">
        <v>104</v>
      </c>
      <c r="E76" s="226">
        <f>SUM(E77:E81)</f>
        <v>784.53400000000011</v>
      </c>
      <c r="F76" s="226">
        <f>SUM(F77:F81)</f>
        <v>1313</v>
      </c>
      <c r="G76" s="226">
        <f>SUM(G77:G81)</f>
        <v>1223.6699999999998</v>
      </c>
      <c r="H76" s="230"/>
      <c r="I76" s="230"/>
      <c r="J76" s="280"/>
      <c r="K76" s="280"/>
      <c r="L76" s="280"/>
      <c r="M76" s="280"/>
      <c r="N76" s="280"/>
      <c r="O76" s="280"/>
      <c r="P76" s="280"/>
      <c r="Q76" s="280"/>
    </row>
    <row r="77" spans="1:17" s="268" customFormat="1" ht="15.75" x14ac:dyDescent="0.2">
      <c r="A77" s="234"/>
      <c r="B77" s="323">
        <v>3292</v>
      </c>
      <c r="C77" s="234"/>
      <c r="D77" s="347" t="s">
        <v>261</v>
      </c>
      <c r="E77" s="230">
        <v>649.99400000000003</v>
      </c>
      <c r="F77" s="230">
        <f>SUM(POSEBNI_DIO_!C40)</f>
        <v>753</v>
      </c>
      <c r="G77" s="230">
        <f>SUM(POSEBNI_DIO_!D40)</f>
        <v>762.01</v>
      </c>
      <c r="H77" s="230"/>
      <c r="I77" s="264"/>
      <c r="J77" s="267"/>
      <c r="K77" s="267"/>
      <c r="L77" s="267"/>
      <c r="M77" s="267"/>
      <c r="N77" s="267"/>
      <c r="O77" s="267"/>
      <c r="P77" s="267"/>
      <c r="Q77" s="267"/>
    </row>
    <row r="78" spans="1:17" s="268" customFormat="1" ht="15.75" x14ac:dyDescent="0.2">
      <c r="A78" s="234"/>
      <c r="B78" s="323" t="s">
        <v>194</v>
      </c>
      <c r="C78" s="234"/>
      <c r="D78" s="347" t="s">
        <v>195</v>
      </c>
      <c r="E78" s="230">
        <v>49.61</v>
      </c>
      <c r="F78" s="230">
        <f>SUM(POSEBNI_DIO_!C41)</f>
        <v>300</v>
      </c>
      <c r="G78" s="230">
        <f>SUM(POSEBNI_DIO_!D41)</f>
        <v>297.63</v>
      </c>
      <c r="H78" s="230"/>
      <c r="I78" s="264"/>
      <c r="J78" s="267"/>
      <c r="K78" s="267"/>
      <c r="L78" s="267"/>
      <c r="M78" s="267"/>
      <c r="N78" s="267"/>
      <c r="O78" s="267"/>
      <c r="P78" s="267"/>
      <c r="Q78" s="267"/>
    </row>
    <row r="79" spans="1:17" s="268" customFormat="1" ht="15.75" x14ac:dyDescent="0.2">
      <c r="A79" s="234"/>
      <c r="B79" s="323">
        <v>3294</v>
      </c>
      <c r="C79" s="234"/>
      <c r="D79" s="347" t="s">
        <v>266</v>
      </c>
      <c r="E79" s="230">
        <v>59.73</v>
      </c>
      <c r="F79" s="230">
        <f>SUM(POSEBNI_DIO_!C42)</f>
        <v>60</v>
      </c>
      <c r="G79" s="230">
        <f>SUM(POSEBNI_DIO_!D42)</f>
        <v>60</v>
      </c>
      <c r="H79" s="230"/>
      <c r="I79" s="264"/>
      <c r="J79" s="267"/>
      <c r="K79" s="267"/>
      <c r="L79" s="267"/>
      <c r="M79" s="267"/>
      <c r="N79" s="267"/>
      <c r="O79" s="267"/>
      <c r="P79" s="267"/>
      <c r="Q79" s="267"/>
    </row>
    <row r="80" spans="1:17" s="268" customFormat="1" ht="15.75" x14ac:dyDescent="0.2">
      <c r="A80" s="234"/>
      <c r="B80" s="323">
        <v>3296</v>
      </c>
      <c r="C80" s="234"/>
      <c r="D80" s="347" t="s">
        <v>271</v>
      </c>
      <c r="E80" s="230">
        <v>0</v>
      </c>
      <c r="F80" s="230"/>
      <c r="G80" s="230"/>
      <c r="H80" s="230"/>
      <c r="I80" s="264"/>
      <c r="J80" s="267"/>
      <c r="K80" s="267"/>
      <c r="L80" s="267"/>
      <c r="M80" s="267"/>
      <c r="N80" s="267"/>
      <c r="O80" s="267"/>
      <c r="P80" s="267"/>
      <c r="Q80" s="267"/>
    </row>
    <row r="81" spans="1:17" s="268" customFormat="1" ht="15.75" x14ac:dyDescent="0.2">
      <c r="A81" s="234"/>
      <c r="B81" s="323" t="s">
        <v>196</v>
      </c>
      <c r="C81" s="234"/>
      <c r="D81" s="347" t="s">
        <v>104</v>
      </c>
      <c r="E81" s="230">
        <v>25.2</v>
      </c>
      <c r="F81" s="230">
        <f>SUM(POSEBNI_DIO_!C43)</f>
        <v>200</v>
      </c>
      <c r="G81" s="230">
        <f>SUM(POSEBNI_DIO_!D43)</f>
        <v>104.03</v>
      </c>
      <c r="H81" s="230"/>
      <c r="I81" s="264"/>
      <c r="J81" s="267"/>
      <c r="K81" s="267"/>
      <c r="L81" s="267"/>
      <c r="M81" s="267"/>
      <c r="N81" s="267"/>
      <c r="O81" s="267"/>
      <c r="P81" s="267"/>
      <c r="Q81" s="267"/>
    </row>
    <row r="82" spans="1:17" s="268" customFormat="1" x14ac:dyDescent="0.2">
      <c r="A82" s="233"/>
      <c r="B82" s="227">
        <v>34</v>
      </c>
      <c r="C82" s="233"/>
      <c r="D82" s="11" t="s">
        <v>9</v>
      </c>
      <c r="E82" s="12">
        <f t="shared" ref="E82:F82" si="26">SUM(E83)</f>
        <v>636.46</v>
      </c>
      <c r="F82" s="12">
        <f t="shared" si="26"/>
        <v>750</v>
      </c>
      <c r="G82" s="12">
        <f>SUM(G83)</f>
        <v>634.41</v>
      </c>
      <c r="H82" s="241">
        <f>SUM(G82/E82*100)</f>
        <v>99.677905917103971</v>
      </c>
      <c r="I82" s="241">
        <f>SUM(G82/F82*100)</f>
        <v>84.587999999999994</v>
      </c>
      <c r="J82" s="267"/>
      <c r="K82" s="267"/>
      <c r="L82" s="267"/>
      <c r="M82" s="267"/>
      <c r="N82" s="267"/>
      <c r="O82" s="267"/>
      <c r="P82" s="267"/>
      <c r="Q82" s="267"/>
    </row>
    <row r="83" spans="1:17" s="281" customFormat="1" x14ac:dyDescent="0.2">
      <c r="A83" s="232"/>
      <c r="B83" s="228">
        <v>343</v>
      </c>
      <c r="C83" s="232"/>
      <c r="D83" s="232" t="s">
        <v>106</v>
      </c>
      <c r="E83" s="226">
        <f t="shared" ref="E83:F83" si="27">SUM(E84:E85)</f>
        <v>636.46</v>
      </c>
      <c r="F83" s="226">
        <f t="shared" si="27"/>
        <v>750</v>
      </c>
      <c r="G83" s="226">
        <f>SUM(G84:G85)</f>
        <v>634.41</v>
      </c>
      <c r="H83" s="230"/>
      <c r="I83" s="230"/>
      <c r="J83" s="280"/>
      <c r="K83" s="280"/>
      <c r="L83" s="280"/>
      <c r="M83" s="280"/>
      <c r="N83" s="280"/>
      <c r="O83" s="280"/>
      <c r="P83" s="280"/>
      <c r="Q83" s="280"/>
    </row>
    <row r="84" spans="1:17" s="268" customFormat="1" ht="31.5" x14ac:dyDescent="0.2">
      <c r="A84" s="234"/>
      <c r="B84" s="381">
        <v>3431</v>
      </c>
      <c r="C84" s="234"/>
      <c r="D84" s="347" t="s">
        <v>197</v>
      </c>
      <c r="E84" s="230">
        <v>636.46</v>
      </c>
      <c r="F84" s="230">
        <f>SUM(POSEBNI_DIO_!C46)</f>
        <v>750</v>
      </c>
      <c r="G84" s="230">
        <f>SUM(POSEBNI_DIO_!D46)</f>
        <v>634.41</v>
      </c>
      <c r="H84" s="230"/>
      <c r="I84" s="264"/>
      <c r="J84" s="267"/>
      <c r="K84" s="267"/>
      <c r="L84" s="267"/>
      <c r="M84" s="267"/>
      <c r="N84" s="267"/>
      <c r="O84" s="267"/>
      <c r="P84" s="267"/>
      <c r="Q84" s="267"/>
    </row>
    <row r="85" spans="1:17" s="268" customFormat="1" ht="15.75" x14ac:dyDescent="0.2">
      <c r="A85" s="234"/>
      <c r="B85" s="376">
        <v>3433</v>
      </c>
      <c r="C85" s="234"/>
      <c r="D85" s="377" t="s">
        <v>272</v>
      </c>
      <c r="E85" s="230">
        <v>0</v>
      </c>
      <c r="F85" s="230"/>
      <c r="G85" s="230">
        <v>0</v>
      </c>
      <c r="H85" s="230"/>
      <c r="I85" s="264"/>
      <c r="J85" s="267"/>
      <c r="K85" s="267"/>
      <c r="L85" s="267"/>
      <c r="M85" s="267"/>
      <c r="N85" s="267"/>
      <c r="O85" s="267"/>
      <c r="P85" s="267"/>
      <c r="Q85" s="267"/>
    </row>
    <row r="86" spans="1:17" s="268" customFormat="1" x14ac:dyDescent="0.2">
      <c r="A86" s="249"/>
      <c r="B86" s="244"/>
      <c r="C86" s="245" t="s">
        <v>28</v>
      </c>
      <c r="D86" s="246" t="s">
        <v>31</v>
      </c>
      <c r="E86" s="247">
        <f>SUM(E45,E53,E82)</f>
        <v>384356.58400000009</v>
      </c>
      <c r="F86" s="247">
        <f>SUM(F45,F53,F82)</f>
        <v>492475</v>
      </c>
      <c r="G86" s="247">
        <f>SUM(G45,G53,G82)</f>
        <v>481422.56999999995</v>
      </c>
      <c r="H86" s="265">
        <f t="shared" si="20"/>
        <v>125.25414941246325</v>
      </c>
      <c r="I86" s="265">
        <f t="shared" si="21"/>
        <v>97.755737854713431</v>
      </c>
      <c r="J86" s="267"/>
      <c r="K86" s="267"/>
      <c r="L86" s="267"/>
      <c r="M86" s="267"/>
      <c r="N86" s="267"/>
      <c r="O86" s="267"/>
      <c r="P86" s="267"/>
      <c r="Q86" s="267"/>
    </row>
    <row r="87" spans="1:17" s="271" customFormat="1" x14ac:dyDescent="0.2">
      <c r="A87" s="233"/>
      <c r="B87" s="227">
        <v>31</v>
      </c>
      <c r="C87" s="233"/>
      <c r="D87" s="11" t="s">
        <v>5</v>
      </c>
      <c r="E87" s="12">
        <f t="shared" ref="E87:F87" si="28">SUM(E88,E90,E105)</f>
        <v>2746.11</v>
      </c>
      <c r="F87" s="12">
        <f t="shared" si="28"/>
        <v>2011.03</v>
      </c>
      <c r="G87" s="12">
        <f>SUM(G88,G90)</f>
        <v>3715.9700000000003</v>
      </c>
      <c r="H87" s="241">
        <f>SUM(G87/E87*100)</f>
        <v>135.31759470669419</v>
      </c>
      <c r="I87" s="241"/>
      <c r="J87" s="270"/>
      <c r="K87" s="270"/>
      <c r="L87" s="270"/>
      <c r="M87" s="270"/>
      <c r="N87" s="270"/>
      <c r="O87" s="270"/>
      <c r="P87" s="270"/>
      <c r="Q87" s="270"/>
    </row>
    <row r="88" spans="1:17" s="268" customFormat="1" ht="15.75" customHeight="1" x14ac:dyDescent="0.2">
      <c r="A88" s="232"/>
      <c r="B88" s="239">
        <v>311</v>
      </c>
      <c r="C88" s="272"/>
      <c r="D88" s="236" t="s">
        <v>95</v>
      </c>
      <c r="E88" s="230">
        <f t="shared" ref="E88:F88" si="29">SUM(E89)</f>
        <v>0</v>
      </c>
      <c r="F88" s="230">
        <f t="shared" si="29"/>
        <v>0</v>
      </c>
      <c r="G88" s="230">
        <f>SUM(G89)</f>
        <v>1704.94</v>
      </c>
      <c r="H88" s="230"/>
      <c r="I88" s="230"/>
      <c r="J88" s="267"/>
      <c r="K88" s="267"/>
      <c r="L88" s="267"/>
      <c r="M88" s="267"/>
      <c r="N88" s="267"/>
      <c r="O88" s="267"/>
      <c r="P88" s="267"/>
      <c r="Q88" s="267"/>
    </row>
    <row r="89" spans="1:17" s="268" customFormat="1" x14ac:dyDescent="0.2">
      <c r="A89" s="234"/>
      <c r="B89" s="379">
        <v>3111</v>
      </c>
      <c r="C89" s="234"/>
      <c r="D89" s="234" t="s">
        <v>175</v>
      </c>
      <c r="E89" s="230"/>
      <c r="F89" s="230"/>
      <c r="G89" s="230">
        <f>SUM(POSEBNI_DIO_!D50)</f>
        <v>1704.94</v>
      </c>
      <c r="H89" s="226"/>
      <c r="I89" s="226"/>
      <c r="J89" s="267"/>
      <c r="K89" s="267"/>
      <c r="L89" s="267"/>
      <c r="M89" s="267"/>
      <c r="N89" s="267"/>
      <c r="O89" s="267"/>
      <c r="P89" s="267"/>
      <c r="Q89" s="267"/>
    </row>
    <row r="90" spans="1:17" s="271" customFormat="1" x14ac:dyDescent="0.2">
      <c r="A90" s="232"/>
      <c r="B90" s="228">
        <v>312</v>
      </c>
      <c r="C90" s="234"/>
      <c r="D90" s="232" t="s">
        <v>260</v>
      </c>
      <c r="E90" s="226">
        <f t="shared" ref="E90:F90" si="30">SUM(E91)</f>
        <v>2746.11</v>
      </c>
      <c r="F90" s="226">
        <f t="shared" si="30"/>
        <v>2011.03</v>
      </c>
      <c r="G90" s="226">
        <f>SUM(G91)</f>
        <v>2011.03</v>
      </c>
      <c r="H90" s="230"/>
      <c r="I90" s="230"/>
      <c r="J90" s="270"/>
      <c r="K90" s="270"/>
      <c r="L90" s="270"/>
      <c r="M90" s="270"/>
      <c r="N90" s="270"/>
      <c r="O90" s="270"/>
      <c r="P90" s="270"/>
      <c r="Q90" s="270"/>
    </row>
    <row r="91" spans="1:17" s="268" customFormat="1" x14ac:dyDescent="0.2">
      <c r="A91" s="234"/>
      <c r="B91" s="229">
        <v>3121</v>
      </c>
      <c r="C91" s="234"/>
      <c r="D91" s="234" t="s">
        <v>260</v>
      </c>
      <c r="E91" s="230">
        <v>2746.11</v>
      </c>
      <c r="F91" s="230">
        <f>SUM(POSEBNI_DIO_!C52)</f>
        <v>2011.03</v>
      </c>
      <c r="G91" s="230">
        <f>SUM(POSEBNI_DIO_!D52)</f>
        <v>2011.03</v>
      </c>
      <c r="H91" s="226"/>
      <c r="I91" s="226"/>
      <c r="J91" s="267"/>
      <c r="K91" s="267"/>
      <c r="L91" s="267"/>
      <c r="M91" s="267"/>
      <c r="N91" s="267"/>
      <c r="O91" s="267"/>
      <c r="P91" s="267"/>
      <c r="Q91" s="267"/>
    </row>
    <row r="92" spans="1:17" s="271" customFormat="1" x14ac:dyDescent="0.2">
      <c r="A92" s="233"/>
      <c r="B92" s="227">
        <v>32</v>
      </c>
      <c r="C92" s="233"/>
      <c r="D92" s="11" t="s">
        <v>6</v>
      </c>
      <c r="E92" s="12">
        <f t="shared" ref="E92:F92" si="31">SUM(E93,E95,E97,E103,E105)</f>
        <v>93.45</v>
      </c>
      <c r="F92" s="12">
        <f t="shared" si="31"/>
        <v>5085.74</v>
      </c>
      <c r="G92" s="12">
        <f>SUM(G93,G95,G97,G103,G105)</f>
        <v>1782.2</v>
      </c>
      <c r="H92" s="241"/>
      <c r="I92" s="241">
        <f t="shared" ref="I92" si="32">SUM(G92/F92*100)</f>
        <v>35.043081242847649</v>
      </c>
      <c r="J92" s="270"/>
      <c r="K92" s="270"/>
      <c r="L92" s="270"/>
      <c r="M92" s="270"/>
      <c r="N92" s="270"/>
      <c r="O92" s="270"/>
      <c r="P92" s="270"/>
      <c r="Q92" s="270"/>
    </row>
    <row r="93" spans="1:17" s="268" customFormat="1" ht="15.75" customHeight="1" x14ac:dyDescent="0.2">
      <c r="A93" s="232"/>
      <c r="B93" s="239">
        <v>321</v>
      </c>
      <c r="C93" s="272"/>
      <c r="D93" s="236" t="s">
        <v>102</v>
      </c>
      <c r="E93" s="226">
        <f>SUM(E94)</f>
        <v>0</v>
      </c>
      <c r="F93" s="226">
        <f>SUM(F94)</f>
        <v>201.3</v>
      </c>
      <c r="G93" s="226">
        <f>SUM(G94)</f>
        <v>201.3</v>
      </c>
      <c r="H93" s="230"/>
      <c r="I93" s="230"/>
      <c r="J93" s="267"/>
      <c r="K93" s="267"/>
      <c r="L93" s="267"/>
      <c r="M93" s="267"/>
      <c r="N93" s="267"/>
      <c r="O93" s="267"/>
      <c r="P93" s="267"/>
      <c r="Q93" s="267"/>
    </row>
    <row r="94" spans="1:17" s="268" customFormat="1" x14ac:dyDescent="0.2">
      <c r="A94" s="234"/>
      <c r="B94" s="379">
        <v>3211</v>
      </c>
      <c r="C94" s="234"/>
      <c r="D94" s="234" t="s">
        <v>178</v>
      </c>
      <c r="E94" s="230">
        <v>0</v>
      </c>
      <c r="F94" s="230">
        <f>SUM(POSEBNI_DIO_!C56)</f>
        <v>201.3</v>
      </c>
      <c r="G94" s="230">
        <f>SUM(POSEBNI_DIO_!D56)</f>
        <v>201.3</v>
      </c>
      <c r="H94" s="226"/>
      <c r="I94" s="226"/>
      <c r="J94" s="267"/>
      <c r="K94" s="267"/>
      <c r="L94" s="267"/>
      <c r="M94" s="267"/>
      <c r="N94" s="267"/>
      <c r="O94" s="267"/>
      <c r="P94" s="267"/>
      <c r="Q94" s="267"/>
    </row>
    <row r="95" spans="1:17" s="268" customFormat="1" ht="15.75" customHeight="1" x14ac:dyDescent="0.2">
      <c r="A95" s="232"/>
      <c r="B95" s="239">
        <v>322</v>
      </c>
      <c r="C95" s="272"/>
      <c r="D95" s="236" t="s">
        <v>103</v>
      </c>
      <c r="E95" s="226">
        <f>SUM(E96)</f>
        <v>0</v>
      </c>
      <c r="F95" s="226">
        <f>SUM(F96)</f>
        <v>242.61</v>
      </c>
      <c r="G95" s="226">
        <f>SUM(G96)</f>
        <v>303.88</v>
      </c>
      <c r="H95" s="230"/>
      <c r="I95" s="230"/>
      <c r="J95" s="267"/>
      <c r="K95" s="267"/>
      <c r="L95" s="267"/>
      <c r="M95" s="267"/>
      <c r="N95" s="267"/>
      <c r="O95" s="267"/>
      <c r="P95" s="267"/>
      <c r="Q95" s="267"/>
    </row>
    <row r="96" spans="1:17" s="268" customFormat="1" x14ac:dyDescent="0.2">
      <c r="A96" s="234"/>
      <c r="B96" s="379">
        <v>3221</v>
      </c>
      <c r="C96" s="234"/>
      <c r="D96" s="234" t="s">
        <v>120</v>
      </c>
      <c r="E96" s="230"/>
      <c r="F96" s="230">
        <f>SUM(POSEBNI_DIO_!C58)</f>
        <v>242.61</v>
      </c>
      <c r="G96" s="230">
        <f>SUM(POSEBNI_DIO_!D58)</f>
        <v>303.88</v>
      </c>
      <c r="H96" s="226"/>
      <c r="I96" s="226"/>
      <c r="J96" s="267"/>
      <c r="K96" s="267"/>
      <c r="L96" s="267"/>
      <c r="M96" s="267"/>
      <c r="N96" s="267"/>
      <c r="O96" s="267"/>
      <c r="P96" s="267"/>
      <c r="Q96" s="267"/>
    </row>
    <row r="97" spans="1:17" s="268" customFormat="1" ht="15.75" customHeight="1" x14ac:dyDescent="0.2">
      <c r="A97" s="232"/>
      <c r="B97" s="239">
        <v>323</v>
      </c>
      <c r="C97" s="272"/>
      <c r="D97" s="236" t="s">
        <v>89</v>
      </c>
      <c r="E97" s="226">
        <f t="shared" ref="E97:F97" si="33">SUM(E98:E102)</f>
        <v>0</v>
      </c>
      <c r="F97" s="226">
        <f t="shared" si="33"/>
        <v>4641.83</v>
      </c>
      <c r="G97" s="226">
        <f>SUM(G98:G102)</f>
        <v>1233.77</v>
      </c>
      <c r="H97" s="230"/>
      <c r="I97" s="230"/>
      <c r="J97" s="267"/>
      <c r="K97" s="267"/>
      <c r="L97" s="267"/>
      <c r="M97" s="267"/>
      <c r="N97" s="267"/>
      <c r="O97" s="267"/>
      <c r="P97" s="267"/>
      <c r="Q97" s="267"/>
    </row>
    <row r="98" spans="1:17" s="268" customFormat="1" x14ac:dyDescent="0.2">
      <c r="A98" s="234"/>
      <c r="B98" s="379">
        <v>3231</v>
      </c>
      <c r="C98" s="234"/>
      <c r="D98" s="234" t="s">
        <v>187</v>
      </c>
      <c r="E98" s="230"/>
      <c r="F98" s="230">
        <f>SUM(POSEBNI_DIO_!C60)</f>
        <v>41</v>
      </c>
      <c r="G98" s="230">
        <f>SUM(POSEBNI_DIO_!D60)</f>
        <v>41</v>
      </c>
      <c r="H98" s="226"/>
      <c r="I98" s="226"/>
      <c r="J98" s="267"/>
      <c r="K98" s="267"/>
      <c r="L98" s="267"/>
      <c r="M98" s="267"/>
      <c r="N98" s="267"/>
      <c r="O98" s="267"/>
      <c r="P98" s="267"/>
      <c r="Q98" s="267"/>
    </row>
    <row r="99" spans="1:17" s="268" customFormat="1" x14ac:dyDescent="0.2">
      <c r="A99" s="234"/>
      <c r="B99" s="379">
        <v>3232</v>
      </c>
      <c r="C99" s="234"/>
      <c r="D99" s="234" t="s">
        <v>189</v>
      </c>
      <c r="E99" s="230"/>
      <c r="F99" s="230">
        <f>POSEBNI_DIO_!C61</f>
        <v>2000</v>
      </c>
      <c r="G99" s="230">
        <f>POSEBNI_DIO_!D61</f>
        <v>0</v>
      </c>
      <c r="H99" s="226"/>
      <c r="I99" s="226"/>
      <c r="J99" s="267"/>
      <c r="K99" s="267"/>
      <c r="L99" s="267"/>
      <c r="M99" s="267"/>
      <c r="N99" s="267"/>
      <c r="O99" s="267"/>
      <c r="P99" s="267"/>
      <c r="Q99" s="267"/>
    </row>
    <row r="100" spans="1:17" s="268" customFormat="1" x14ac:dyDescent="0.2">
      <c r="A100" s="234"/>
      <c r="B100" s="240">
        <v>3237</v>
      </c>
      <c r="C100" s="273"/>
      <c r="D100" s="237" t="s">
        <v>123</v>
      </c>
      <c r="E100" s="230"/>
      <c r="F100" s="230">
        <f>POSEBNI_DIO_!C62</f>
        <v>600.83000000000004</v>
      </c>
      <c r="G100" s="230">
        <f>POSEBNI_DIO_!D62</f>
        <v>1102.77</v>
      </c>
      <c r="H100" s="226"/>
      <c r="I100" s="226"/>
      <c r="J100" s="267"/>
      <c r="K100" s="267"/>
      <c r="L100" s="267"/>
      <c r="M100" s="267"/>
      <c r="N100" s="267"/>
      <c r="O100" s="267"/>
      <c r="P100" s="267"/>
      <c r="Q100" s="267"/>
    </row>
    <row r="101" spans="1:17" s="268" customFormat="1" ht="15.75" x14ac:dyDescent="0.2">
      <c r="A101" s="234"/>
      <c r="B101" s="379">
        <v>3239</v>
      </c>
      <c r="C101" s="234"/>
      <c r="D101" s="347" t="s">
        <v>124</v>
      </c>
      <c r="E101" s="230"/>
      <c r="F101" s="230">
        <f>SUM(POSEBNI_DIO_!C63)</f>
        <v>2000</v>
      </c>
      <c r="G101" s="230">
        <f>SUM(POSEBNI_DIO_!D63)</f>
        <v>90</v>
      </c>
      <c r="H101" s="226"/>
      <c r="I101" s="226"/>
      <c r="J101" s="267"/>
      <c r="K101" s="267"/>
      <c r="L101" s="267"/>
      <c r="M101" s="267"/>
      <c r="N101" s="267"/>
      <c r="O101" s="267"/>
      <c r="P101" s="267"/>
      <c r="Q101" s="267"/>
    </row>
    <row r="102" spans="1:17" s="268" customFormat="1" x14ac:dyDescent="0.2">
      <c r="A102" s="234"/>
      <c r="B102" s="379">
        <v>3432</v>
      </c>
      <c r="C102" s="234"/>
      <c r="D102" s="234" t="s">
        <v>283</v>
      </c>
      <c r="E102" s="230"/>
      <c r="F102" s="230">
        <f>POSEBNI_DIO_!C70</f>
        <v>0</v>
      </c>
      <c r="G102" s="230">
        <f>POSEBNI_DIO_!D70</f>
        <v>0</v>
      </c>
      <c r="H102" s="226"/>
      <c r="I102" s="226"/>
      <c r="J102" s="267"/>
      <c r="K102" s="267"/>
      <c r="L102" s="267"/>
      <c r="M102" s="267"/>
      <c r="N102" s="267"/>
      <c r="O102" s="267"/>
      <c r="P102" s="267"/>
      <c r="Q102" s="267"/>
    </row>
    <row r="103" spans="1:17" s="268" customFormat="1" ht="15.75" customHeight="1" x14ac:dyDescent="0.2">
      <c r="A103" s="232"/>
      <c r="B103" s="239">
        <v>324</v>
      </c>
      <c r="C103" s="272"/>
      <c r="D103" s="236" t="s">
        <v>284</v>
      </c>
      <c r="E103" s="226">
        <f>SUM(E104)</f>
        <v>93.45</v>
      </c>
      <c r="F103" s="226">
        <f>SUM(F104)</f>
        <v>0</v>
      </c>
      <c r="G103" s="226">
        <f>SUM(G104)</f>
        <v>0</v>
      </c>
      <c r="H103" s="230"/>
      <c r="I103" s="230"/>
      <c r="J103" s="267"/>
      <c r="K103" s="267"/>
      <c r="L103" s="267"/>
      <c r="M103" s="267"/>
      <c r="N103" s="267"/>
      <c r="O103" s="267"/>
      <c r="P103" s="267"/>
      <c r="Q103" s="267"/>
    </row>
    <row r="104" spans="1:17" s="268" customFormat="1" ht="31.5" x14ac:dyDescent="0.2">
      <c r="A104" s="234"/>
      <c r="B104" s="379">
        <v>3241</v>
      </c>
      <c r="C104" s="234"/>
      <c r="D104" s="347" t="s">
        <v>284</v>
      </c>
      <c r="E104" s="230">
        <v>93.45</v>
      </c>
      <c r="F104" s="230">
        <f>POSEBNI_DIO_!C65</f>
        <v>0</v>
      </c>
      <c r="G104" s="230">
        <f>POSEBNI_DIO_!D65</f>
        <v>0</v>
      </c>
      <c r="H104" s="226"/>
      <c r="I104" s="226"/>
      <c r="J104" s="267"/>
      <c r="K104" s="267"/>
      <c r="L104" s="267"/>
      <c r="M104" s="267"/>
      <c r="N104" s="267"/>
      <c r="O104" s="267"/>
      <c r="P104" s="267"/>
      <c r="Q104" s="267"/>
    </row>
    <row r="105" spans="1:17" s="271" customFormat="1" x14ac:dyDescent="0.2">
      <c r="A105" s="232"/>
      <c r="B105" s="380">
        <v>329</v>
      </c>
      <c r="C105" s="234"/>
      <c r="D105" s="232" t="s">
        <v>104</v>
      </c>
      <c r="E105" s="226">
        <f>SUM(E106)</f>
        <v>0</v>
      </c>
      <c r="F105" s="226">
        <f t="shared" ref="F105:G105" si="34">SUM(F106)</f>
        <v>0</v>
      </c>
      <c r="G105" s="226">
        <f t="shared" si="34"/>
        <v>43.25</v>
      </c>
      <c r="H105" s="226"/>
      <c r="I105" s="230"/>
      <c r="J105" s="270"/>
      <c r="K105" s="270"/>
      <c r="L105" s="270"/>
      <c r="M105" s="270"/>
      <c r="N105" s="270"/>
      <c r="O105" s="270"/>
      <c r="P105" s="270"/>
      <c r="Q105" s="270"/>
    </row>
    <row r="106" spans="1:17" s="268" customFormat="1" x14ac:dyDescent="0.2">
      <c r="A106" s="234"/>
      <c r="B106" s="379">
        <v>3293</v>
      </c>
      <c r="C106" s="234"/>
      <c r="D106" s="234" t="s">
        <v>195</v>
      </c>
      <c r="E106" s="230">
        <v>0</v>
      </c>
      <c r="F106" s="230">
        <v>0</v>
      </c>
      <c r="G106" s="230">
        <f>POSEBNI_DIO_!D67</f>
        <v>43.25</v>
      </c>
      <c r="H106" s="226"/>
      <c r="I106" s="226"/>
      <c r="J106" s="267"/>
      <c r="K106" s="267"/>
      <c r="L106" s="267"/>
      <c r="M106" s="267"/>
      <c r="N106" s="267"/>
      <c r="O106" s="267"/>
      <c r="P106" s="267"/>
      <c r="Q106" s="267"/>
    </row>
    <row r="107" spans="1:17" s="268" customFormat="1" x14ac:dyDescent="0.2">
      <c r="A107" s="233"/>
      <c r="B107" s="227">
        <v>34</v>
      </c>
      <c r="C107" s="233"/>
      <c r="D107" s="11" t="s">
        <v>9</v>
      </c>
      <c r="E107" s="12">
        <f>SUM(E108)</f>
        <v>3.54</v>
      </c>
      <c r="F107" s="12">
        <f t="shared" ref="F107:F108" si="35">SUM(F108)</f>
        <v>0</v>
      </c>
      <c r="G107" s="12">
        <f t="shared" ref="G107:G108" si="36">SUM(G108)</f>
        <v>0</v>
      </c>
      <c r="H107" s="241">
        <f>SUM(G107/E107*100)</f>
        <v>0</v>
      </c>
      <c r="I107" s="241"/>
      <c r="J107" s="267"/>
      <c r="K107" s="267"/>
      <c r="L107" s="267"/>
      <c r="M107" s="267"/>
      <c r="N107" s="267"/>
      <c r="O107" s="267"/>
      <c r="P107" s="267"/>
      <c r="Q107" s="267"/>
    </row>
    <row r="108" spans="1:17" s="268" customFormat="1" ht="15.75" customHeight="1" x14ac:dyDescent="0.2">
      <c r="A108" s="232"/>
      <c r="B108" s="239">
        <v>343</v>
      </c>
      <c r="C108" s="272"/>
      <c r="D108" s="236" t="s">
        <v>106</v>
      </c>
      <c r="E108" s="226">
        <f>SUM(E109)</f>
        <v>3.54</v>
      </c>
      <c r="F108" s="226">
        <f t="shared" si="35"/>
        <v>0</v>
      </c>
      <c r="G108" s="226">
        <f t="shared" si="36"/>
        <v>0</v>
      </c>
      <c r="H108" s="230"/>
      <c r="I108" s="230"/>
      <c r="J108" s="267"/>
      <c r="K108" s="267"/>
      <c r="L108" s="267"/>
      <c r="M108" s="267"/>
      <c r="N108" s="267"/>
      <c r="O108" s="267"/>
      <c r="P108" s="267"/>
      <c r="Q108" s="267"/>
    </row>
    <row r="109" spans="1:17" s="268" customFormat="1" ht="15.75" x14ac:dyDescent="0.2">
      <c r="A109" s="234"/>
      <c r="B109" s="381">
        <v>3431</v>
      </c>
      <c r="C109" s="234"/>
      <c r="D109" s="347" t="s">
        <v>283</v>
      </c>
      <c r="E109" s="230">
        <v>3.54</v>
      </c>
      <c r="F109" s="230"/>
      <c r="G109" s="230"/>
      <c r="H109" s="230"/>
      <c r="I109" s="230"/>
      <c r="J109" s="267"/>
      <c r="K109" s="267"/>
      <c r="L109" s="267"/>
      <c r="M109" s="267"/>
      <c r="N109" s="267"/>
      <c r="O109" s="267"/>
      <c r="P109" s="267"/>
      <c r="Q109" s="267"/>
    </row>
    <row r="110" spans="1:17" s="271" customFormat="1" x14ac:dyDescent="0.2">
      <c r="A110" s="249"/>
      <c r="B110" s="244"/>
      <c r="C110" s="245" t="s">
        <v>25</v>
      </c>
      <c r="D110" s="246" t="s">
        <v>43</v>
      </c>
      <c r="E110" s="247">
        <f>SUM(E87,E92,E107)</f>
        <v>2843.1</v>
      </c>
      <c r="F110" s="247">
        <f>SUM(F87,F92)</f>
        <v>7096.7699999999995</v>
      </c>
      <c r="G110" s="247">
        <f>SUM(G87,G92)</f>
        <v>5498.17</v>
      </c>
      <c r="H110" s="265">
        <f t="shared" si="20"/>
        <v>193.38644437409872</v>
      </c>
      <c r="I110" s="265">
        <f t="shared" si="21"/>
        <v>77.474259416607836</v>
      </c>
      <c r="J110" s="270"/>
      <c r="K110" s="270"/>
      <c r="L110" s="270"/>
      <c r="M110" s="270"/>
      <c r="N110" s="270"/>
      <c r="O110" s="270"/>
      <c r="P110" s="270"/>
      <c r="Q110" s="270"/>
    </row>
    <row r="111" spans="1:17" s="268" customFormat="1" x14ac:dyDescent="0.2">
      <c r="A111" s="233"/>
      <c r="B111" s="227">
        <v>31</v>
      </c>
      <c r="C111" s="233"/>
      <c r="D111" s="11" t="s">
        <v>5</v>
      </c>
      <c r="E111" s="12">
        <f>SUM(E112)</f>
        <v>0</v>
      </c>
      <c r="F111" s="12">
        <f>SUM(F112)</f>
        <v>6500</v>
      </c>
      <c r="G111" s="12">
        <f>SUM(G112)</f>
        <v>2390.6</v>
      </c>
      <c r="H111" s="241"/>
      <c r="I111" s="241">
        <f t="shared" ref="I111" si="37">SUM(G111/F111*100)</f>
        <v>36.778461538461535</v>
      </c>
      <c r="J111" s="267"/>
      <c r="K111" s="267"/>
      <c r="L111" s="267"/>
      <c r="M111" s="267"/>
      <c r="N111" s="267"/>
      <c r="O111" s="267"/>
      <c r="P111" s="267"/>
      <c r="Q111" s="267"/>
    </row>
    <row r="112" spans="1:17" s="271" customFormat="1" ht="15.75" customHeight="1" x14ac:dyDescent="0.2">
      <c r="A112" s="232"/>
      <c r="B112" s="239">
        <v>311</v>
      </c>
      <c r="C112" s="272"/>
      <c r="D112" s="236" t="s">
        <v>95</v>
      </c>
      <c r="E112" s="226"/>
      <c r="F112" s="230">
        <f>SUM(F113)</f>
        <v>6500</v>
      </c>
      <c r="G112" s="230">
        <f>SUM(G113)</f>
        <v>2390.6</v>
      </c>
      <c r="H112" s="230"/>
      <c r="I112" s="230"/>
      <c r="J112" s="270"/>
      <c r="K112" s="270"/>
      <c r="L112" s="270"/>
      <c r="M112" s="270"/>
      <c r="N112" s="270"/>
      <c r="O112" s="270"/>
      <c r="P112" s="270"/>
      <c r="Q112" s="270"/>
    </row>
    <row r="113" spans="1:17" s="268" customFormat="1" x14ac:dyDescent="0.2">
      <c r="A113" s="234"/>
      <c r="B113" s="240">
        <v>3111</v>
      </c>
      <c r="C113" s="273"/>
      <c r="D113" s="237" t="s">
        <v>175</v>
      </c>
      <c r="E113" s="230"/>
      <c r="F113" s="230">
        <f>SUM(POSEBNI_DIO_!C75)</f>
        <v>6500</v>
      </c>
      <c r="G113" s="230">
        <f>SUM(POSEBNI_DIO_!D75)</f>
        <v>2390.6</v>
      </c>
      <c r="H113" s="230"/>
      <c r="I113" s="230"/>
      <c r="J113" s="267"/>
      <c r="K113" s="267"/>
      <c r="L113" s="267"/>
      <c r="M113" s="267"/>
      <c r="N113" s="267"/>
      <c r="O113" s="267"/>
      <c r="P113" s="267"/>
      <c r="Q113" s="267"/>
    </row>
    <row r="114" spans="1:17" s="268" customFormat="1" x14ac:dyDescent="0.2">
      <c r="A114" s="233"/>
      <c r="B114" s="227">
        <v>32</v>
      </c>
      <c r="C114" s="233"/>
      <c r="D114" s="11" t="s">
        <v>6</v>
      </c>
      <c r="E114" s="12">
        <f>SUM(E115,E120)</f>
        <v>593.84</v>
      </c>
      <c r="F114" s="12">
        <f>SUM(F115,F120)</f>
        <v>2800</v>
      </c>
      <c r="G114" s="12">
        <f>SUM(G115,G118,G120)</f>
        <v>1271.5</v>
      </c>
      <c r="H114" s="241">
        <f>SUM(G114/E114*100)</f>
        <v>214.11491310790782</v>
      </c>
      <c r="I114" s="241">
        <f t="shared" si="21"/>
        <v>45.410714285714285</v>
      </c>
      <c r="J114" s="267"/>
      <c r="K114" s="267"/>
      <c r="L114" s="267"/>
      <c r="M114" s="267"/>
      <c r="N114" s="267"/>
      <c r="O114" s="267"/>
      <c r="P114" s="267"/>
      <c r="Q114" s="267"/>
    </row>
    <row r="115" spans="1:17" s="271" customFormat="1" ht="15.75" customHeight="1" x14ac:dyDescent="0.2">
      <c r="A115" s="232"/>
      <c r="B115" s="239">
        <v>321</v>
      </c>
      <c r="C115" s="272"/>
      <c r="D115" s="236" t="s">
        <v>102</v>
      </c>
      <c r="E115" s="226">
        <f t="shared" ref="E115:F115" si="38">SUM(E116:E117)</f>
        <v>36.4</v>
      </c>
      <c r="F115" s="226">
        <f t="shared" si="38"/>
        <v>100</v>
      </c>
      <c r="G115" s="226">
        <f>SUM(G116:G117)</f>
        <v>119.4</v>
      </c>
      <c r="H115" s="230"/>
      <c r="I115" s="230"/>
      <c r="J115" s="270"/>
      <c r="K115" s="270"/>
      <c r="L115" s="270"/>
      <c r="M115" s="270"/>
      <c r="N115" s="270"/>
      <c r="O115" s="270"/>
      <c r="P115" s="270"/>
      <c r="Q115" s="270"/>
    </row>
    <row r="116" spans="1:17" s="268" customFormat="1" x14ac:dyDescent="0.2">
      <c r="A116" s="234"/>
      <c r="B116" s="240">
        <v>3211</v>
      </c>
      <c r="C116" s="273"/>
      <c r="D116" s="237" t="s">
        <v>178</v>
      </c>
      <c r="E116" s="230"/>
      <c r="F116" s="230">
        <f>SUM(POSEBNI_DIO_!C78)</f>
        <v>100</v>
      </c>
      <c r="G116" s="230">
        <f>SUM(POSEBNI_DIO_!D78)</f>
        <v>119.4</v>
      </c>
      <c r="H116" s="230"/>
      <c r="I116" s="230"/>
      <c r="J116" s="267"/>
      <c r="K116" s="267"/>
      <c r="L116" s="267"/>
      <c r="M116" s="267"/>
      <c r="N116" s="267"/>
      <c r="O116" s="267"/>
      <c r="P116" s="267"/>
      <c r="Q116" s="267"/>
    </row>
    <row r="117" spans="1:17" s="268" customFormat="1" x14ac:dyDescent="0.2">
      <c r="A117" s="234"/>
      <c r="B117" s="240">
        <v>3214</v>
      </c>
      <c r="C117" s="273"/>
      <c r="D117" s="237" t="s">
        <v>263</v>
      </c>
      <c r="E117" s="230">
        <v>36.4</v>
      </c>
      <c r="F117" s="230">
        <f>SUM(POSEBNI_DIO_!C79)</f>
        <v>0</v>
      </c>
      <c r="G117" s="230">
        <f>SUM(POSEBNI_DIO_!D79)</f>
        <v>0</v>
      </c>
      <c r="H117" s="230"/>
      <c r="I117" s="230"/>
      <c r="J117" s="267"/>
      <c r="K117" s="267"/>
      <c r="L117" s="267"/>
      <c r="M117" s="267"/>
      <c r="N117" s="267"/>
      <c r="O117" s="267"/>
      <c r="P117" s="267"/>
      <c r="Q117" s="267"/>
    </row>
    <row r="118" spans="1:17" s="268" customFormat="1" ht="15.75" customHeight="1" x14ac:dyDescent="0.2">
      <c r="A118" s="232"/>
      <c r="B118" s="239">
        <v>322</v>
      </c>
      <c r="C118" s="272"/>
      <c r="D118" s="236" t="s">
        <v>103</v>
      </c>
      <c r="E118" s="226">
        <f>SUM(E119)</f>
        <v>0</v>
      </c>
      <c r="F118" s="226">
        <f>SUM(F119)</f>
        <v>0</v>
      </c>
      <c r="G118" s="226">
        <f>SUM(G119)</f>
        <v>62.95</v>
      </c>
      <c r="H118" s="230"/>
      <c r="I118" s="230"/>
      <c r="J118" s="267"/>
      <c r="K118" s="267"/>
      <c r="L118" s="267"/>
      <c r="M118" s="267"/>
      <c r="N118" s="267"/>
      <c r="O118" s="267"/>
      <c r="P118" s="267"/>
      <c r="Q118" s="267"/>
    </row>
    <row r="119" spans="1:17" s="268" customFormat="1" x14ac:dyDescent="0.2">
      <c r="A119" s="234"/>
      <c r="B119" s="379">
        <v>3221</v>
      </c>
      <c r="C119" s="234"/>
      <c r="D119" s="234" t="s">
        <v>120</v>
      </c>
      <c r="E119" s="230"/>
      <c r="F119" s="230">
        <f>SUM(POSEBNI_DIO_!C81)</f>
        <v>0</v>
      </c>
      <c r="G119" s="230">
        <f>POSEBNI_DIO_!D81</f>
        <v>62.95</v>
      </c>
      <c r="H119" s="226"/>
      <c r="I119" s="226"/>
      <c r="J119" s="267"/>
      <c r="K119" s="267"/>
      <c r="L119" s="267"/>
      <c r="M119" s="267"/>
      <c r="N119" s="267"/>
      <c r="O119" s="267"/>
      <c r="P119" s="267"/>
      <c r="Q119" s="267"/>
    </row>
    <row r="120" spans="1:17" s="268" customFormat="1" ht="15.75" customHeight="1" x14ac:dyDescent="0.2">
      <c r="A120" s="232"/>
      <c r="B120" s="239">
        <v>323</v>
      </c>
      <c r="C120" s="272"/>
      <c r="D120" s="236" t="s">
        <v>89</v>
      </c>
      <c r="E120" s="226">
        <f>SUM(E121:E124)</f>
        <v>557.44000000000005</v>
      </c>
      <c r="F120" s="226">
        <f>SUM(F121:F124)</f>
        <v>2700</v>
      </c>
      <c r="G120" s="226">
        <f>SUM(G121:G124)</f>
        <v>1089.1500000000001</v>
      </c>
      <c r="H120" s="230"/>
      <c r="I120" s="230"/>
      <c r="J120" s="267"/>
      <c r="K120" s="267"/>
      <c r="L120" s="267"/>
      <c r="M120" s="267"/>
      <c r="N120" s="267"/>
      <c r="O120" s="267"/>
      <c r="P120" s="267"/>
      <c r="Q120" s="267"/>
    </row>
    <row r="121" spans="1:17" s="268" customFormat="1" ht="15.75" customHeight="1" x14ac:dyDescent="0.2">
      <c r="A121" s="234"/>
      <c r="B121" s="240" t="s">
        <v>188</v>
      </c>
      <c r="C121" s="273"/>
      <c r="D121" s="237" t="s">
        <v>189</v>
      </c>
      <c r="E121" s="230">
        <v>0</v>
      </c>
      <c r="F121" s="230">
        <f>SUM(POSEBNI_DIO_!C83)</f>
        <v>1000</v>
      </c>
      <c r="G121" s="230">
        <f>SUM(POSEBNI_DIO_!D83)</f>
        <v>0</v>
      </c>
      <c r="H121" s="230"/>
      <c r="I121" s="230"/>
      <c r="J121" s="267"/>
      <c r="K121" s="267"/>
      <c r="L121" s="267"/>
      <c r="M121" s="267"/>
      <c r="N121" s="267"/>
      <c r="O121" s="267"/>
      <c r="P121" s="267"/>
      <c r="Q121" s="267"/>
    </row>
    <row r="122" spans="1:17" s="271" customFormat="1" ht="15.75" customHeight="1" x14ac:dyDescent="0.2">
      <c r="A122" s="234"/>
      <c r="B122" s="240">
        <v>3236</v>
      </c>
      <c r="C122" s="273"/>
      <c r="D122" s="237" t="s">
        <v>122</v>
      </c>
      <c r="E122" s="230">
        <v>318.54000000000002</v>
      </c>
      <c r="F122" s="230">
        <f>SUM(POSEBNI_DIO_!C84)</f>
        <v>0</v>
      </c>
      <c r="G122" s="230">
        <f>SUM(POSEBNI_DIO_!D84)</f>
        <v>0</v>
      </c>
      <c r="H122" s="230"/>
      <c r="I122" s="230"/>
      <c r="J122" s="270"/>
      <c r="K122" s="270"/>
      <c r="L122" s="270"/>
      <c r="M122" s="270"/>
      <c r="N122" s="270"/>
      <c r="O122" s="270"/>
      <c r="P122" s="270"/>
      <c r="Q122" s="270"/>
    </row>
    <row r="123" spans="1:17" s="271" customFormat="1" ht="15.75" customHeight="1" x14ac:dyDescent="0.2">
      <c r="A123" s="234"/>
      <c r="B123" s="240">
        <v>3237</v>
      </c>
      <c r="C123" s="273"/>
      <c r="D123" s="237" t="s">
        <v>123</v>
      </c>
      <c r="E123" s="230">
        <v>238.9</v>
      </c>
      <c r="F123" s="230">
        <f>POSEBNI_DIO_!C85</f>
        <v>0</v>
      </c>
      <c r="G123" s="230">
        <f>POSEBNI_DIO_!D85</f>
        <v>927.76</v>
      </c>
      <c r="H123" s="230"/>
      <c r="I123" s="230"/>
      <c r="J123" s="270"/>
      <c r="K123" s="270"/>
      <c r="L123" s="270"/>
      <c r="M123" s="270"/>
      <c r="N123" s="270"/>
      <c r="O123" s="270"/>
      <c r="P123" s="270"/>
      <c r="Q123" s="270"/>
    </row>
    <row r="124" spans="1:17" s="268" customFormat="1" x14ac:dyDescent="0.2">
      <c r="A124" s="234"/>
      <c r="B124" s="378">
        <v>3239</v>
      </c>
      <c r="C124" s="273"/>
      <c r="D124" s="237" t="s">
        <v>124</v>
      </c>
      <c r="E124" s="230">
        <v>0</v>
      </c>
      <c r="F124" s="230">
        <f>SUM(POSEBNI_DIO_!C86)</f>
        <v>1700</v>
      </c>
      <c r="G124" s="230">
        <f>SUM(POSEBNI_DIO_!D86)</f>
        <v>161.38999999999999</v>
      </c>
      <c r="H124" s="230"/>
      <c r="I124" s="230"/>
      <c r="J124" s="267"/>
      <c r="K124" s="267"/>
      <c r="L124" s="267"/>
      <c r="M124" s="267"/>
      <c r="N124" s="267"/>
      <c r="O124" s="267"/>
      <c r="P124" s="267"/>
      <c r="Q124" s="267"/>
    </row>
    <row r="125" spans="1:17" s="271" customFormat="1" x14ac:dyDescent="0.2">
      <c r="A125" s="249"/>
      <c r="B125" s="244"/>
      <c r="C125" s="245" t="s">
        <v>249</v>
      </c>
      <c r="D125" s="246" t="s">
        <v>262</v>
      </c>
      <c r="E125" s="247">
        <f>SUM(E114)</f>
        <v>593.84</v>
      </c>
      <c r="F125" s="247">
        <f>SUM(F111,F114)</f>
        <v>9300</v>
      </c>
      <c r="G125" s="247">
        <f>SUM(G111,G114)</f>
        <v>3662.1</v>
      </c>
      <c r="H125" s="265">
        <f t="shared" si="20"/>
        <v>616.68126094570925</v>
      </c>
      <c r="I125" s="265">
        <f>SUM(G125/F125*100)</f>
        <v>39.377419354838707</v>
      </c>
      <c r="J125" s="270"/>
      <c r="K125" s="270"/>
      <c r="L125" s="270"/>
      <c r="M125" s="270"/>
      <c r="N125" s="270"/>
      <c r="O125" s="270"/>
      <c r="P125" s="270"/>
      <c r="Q125" s="270"/>
    </row>
    <row r="126" spans="1:17" s="281" customFormat="1" x14ac:dyDescent="0.2">
      <c r="A126" s="233"/>
      <c r="B126" s="227">
        <v>31</v>
      </c>
      <c r="C126" s="233"/>
      <c r="D126" s="11" t="s">
        <v>5</v>
      </c>
      <c r="E126" s="12">
        <f t="shared" ref="E126:F126" si="39">SUM(E127,E129,E131)</f>
        <v>11086.369999999999</v>
      </c>
      <c r="F126" s="12">
        <f t="shared" si="39"/>
        <v>15408.37</v>
      </c>
      <c r="G126" s="12">
        <f>SUM(G127,G129,G131)</f>
        <v>15477.05</v>
      </c>
      <c r="H126" s="241">
        <f>SUM(G126/E126*100)</f>
        <v>139.60430691019695</v>
      </c>
      <c r="I126" s="241">
        <f t="shared" ref="I126" si="40">SUM(G126/F126*100)</f>
        <v>100.44573176786382</v>
      </c>
      <c r="J126" s="280"/>
      <c r="K126" s="280"/>
      <c r="L126" s="280"/>
      <c r="M126" s="280"/>
      <c r="N126" s="280"/>
      <c r="O126" s="280"/>
      <c r="P126" s="280"/>
      <c r="Q126" s="280"/>
    </row>
    <row r="127" spans="1:17" s="268" customFormat="1" ht="15.75" customHeight="1" x14ac:dyDescent="0.2">
      <c r="A127" s="232"/>
      <c r="B127" s="239">
        <v>311</v>
      </c>
      <c r="C127" s="272"/>
      <c r="D127" s="236" t="s">
        <v>95</v>
      </c>
      <c r="E127" s="226">
        <f t="shared" ref="E127" si="41">SUM(E128)</f>
        <v>10726.13</v>
      </c>
      <c r="F127" s="226">
        <f>SUM(F128)</f>
        <v>15408.37</v>
      </c>
      <c r="G127" s="226">
        <f>SUM(G128)</f>
        <v>15410.8</v>
      </c>
      <c r="H127" s="230"/>
      <c r="I127" s="230"/>
      <c r="J127" s="267"/>
      <c r="K127" s="267"/>
      <c r="L127" s="267"/>
      <c r="M127" s="267"/>
      <c r="N127" s="267"/>
      <c r="O127" s="267"/>
      <c r="P127" s="267"/>
      <c r="Q127" s="267"/>
    </row>
    <row r="128" spans="1:17" s="268" customFormat="1" x14ac:dyDescent="0.2">
      <c r="A128" s="234"/>
      <c r="B128" s="229">
        <v>3111</v>
      </c>
      <c r="C128" s="234"/>
      <c r="D128" s="234" t="s">
        <v>175</v>
      </c>
      <c r="E128" s="230">
        <v>10726.13</v>
      </c>
      <c r="F128" s="230">
        <f>SUM(POSEBNI_DIO_!C96)</f>
        <v>15408.37</v>
      </c>
      <c r="G128" s="230">
        <f>SUM(POSEBNI_DIO_!D96)</f>
        <v>15410.8</v>
      </c>
      <c r="H128" s="230"/>
      <c r="I128" s="226"/>
      <c r="J128" s="267"/>
      <c r="K128" s="267"/>
      <c r="L128" s="267"/>
      <c r="M128" s="267"/>
      <c r="N128" s="267"/>
      <c r="O128" s="267"/>
      <c r="P128" s="267"/>
      <c r="Q128" s="267"/>
    </row>
    <row r="129" spans="1:17" s="268" customFormat="1" ht="15.75" customHeight="1" x14ac:dyDescent="0.2">
      <c r="A129" s="232"/>
      <c r="B129" s="239">
        <v>312</v>
      </c>
      <c r="C129" s="272"/>
      <c r="D129" s="236" t="s">
        <v>260</v>
      </c>
      <c r="E129" s="226">
        <f t="shared" ref="E129:F129" si="42">SUM(E130)</f>
        <v>360.24</v>
      </c>
      <c r="F129" s="226">
        <f t="shared" si="42"/>
        <v>0</v>
      </c>
      <c r="G129" s="226">
        <f>SUM(G130)</f>
        <v>0</v>
      </c>
      <c r="H129" s="230"/>
      <c r="I129" s="230"/>
      <c r="J129" s="267"/>
      <c r="K129" s="267"/>
      <c r="L129" s="267"/>
      <c r="M129" s="267"/>
      <c r="N129" s="267"/>
      <c r="O129" s="267"/>
      <c r="P129" s="267"/>
      <c r="Q129" s="267"/>
    </row>
    <row r="130" spans="1:17" s="268" customFormat="1" x14ac:dyDescent="0.2">
      <c r="A130" s="234"/>
      <c r="B130" s="229">
        <v>3121</v>
      </c>
      <c r="C130" s="234"/>
      <c r="D130" s="234" t="s">
        <v>260</v>
      </c>
      <c r="E130" s="230">
        <v>360.24</v>
      </c>
      <c r="F130" s="230">
        <f>POSEBNI_DIO_!C98</f>
        <v>0</v>
      </c>
      <c r="G130" s="230">
        <f>POSEBNI_DIO_!D98</f>
        <v>0</v>
      </c>
      <c r="H130" s="230"/>
      <c r="I130" s="226"/>
      <c r="J130" s="267"/>
      <c r="K130" s="267"/>
      <c r="L130" s="267"/>
      <c r="M130" s="267"/>
      <c r="N130" s="267"/>
      <c r="O130" s="267"/>
      <c r="P130" s="267"/>
      <c r="Q130" s="267"/>
    </row>
    <row r="131" spans="1:17" s="268" customFormat="1" ht="15.75" customHeight="1" x14ac:dyDescent="0.2">
      <c r="A131" s="232"/>
      <c r="B131" s="239">
        <v>313</v>
      </c>
      <c r="C131" s="272"/>
      <c r="D131" s="236" t="s">
        <v>96</v>
      </c>
      <c r="E131" s="226">
        <f>SUM(E132)</f>
        <v>0</v>
      </c>
      <c r="F131" s="226">
        <f t="shared" ref="F131:G131" si="43">SUM(F132)</f>
        <v>0</v>
      </c>
      <c r="G131" s="226">
        <f t="shared" si="43"/>
        <v>66.25</v>
      </c>
      <c r="H131" s="230"/>
      <c r="I131" s="230"/>
      <c r="J131" s="267"/>
      <c r="K131" s="267"/>
      <c r="L131" s="267"/>
      <c r="M131" s="267"/>
      <c r="N131" s="267"/>
      <c r="O131" s="267"/>
      <c r="P131" s="267"/>
      <c r="Q131" s="267"/>
    </row>
    <row r="132" spans="1:17" s="268" customFormat="1" x14ac:dyDescent="0.2">
      <c r="A132" s="234"/>
      <c r="B132" s="229">
        <v>3132</v>
      </c>
      <c r="C132" s="234"/>
      <c r="D132" s="234" t="s">
        <v>176</v>
      </c>
      <c r="E132" s="230">
        <f>SUM(POSEBNI_DIO_!B100)</f>
        <v>0</v>
      </c>
      <c r="F132" s="230">
        <f>SUM(POSEBNI_DIO_!C100)</f>
        <v>0</v>
      </c>
      <c r="G132" s="230">
        <f>SUM(POSEBNI_DIO_!D100)</f>
        <v>66.25</v>
      </c>
      <c r="H132" s="230"/>
      <c r="I132" s="226"/>
      <c r="J132" s="267"/>
      <c r="K132" s="267"/>
      <c r="L132" s="267"/>
      <c r="M132" s="267"/>
      <c r="N132" s="267"/>
      <c r="O132" s="267"/>
      <c r="P132" s="267"/>
      <c r="Q132" s="267"/>
    </row>
    <row r="133" spans="1:17" s="271" customFormat="1" x14ac:dyDescent="0.2">
      <c r="A133" s="233"/>
      <c r="B133" s="227">
        <v>32</v>
      </c>
      <c r="C133" s="233"/>
      <c r="D133" s="11" t="s">
        <v>6</v>
      </c>
      <c r="E133" s="12">
        <f>SUM(E134,E136,E138)</f>
        <v>451.38</v>
      </c>
      <c r="F133" s="12">
        <f t="shared" ref="F133:G133" si="44">SUM(F134,F136,F138)</f>
        <v>9.16</v>
      </c>
      <c r="G133" s="12">
        <f t="shared" si="44"/>
        <v>9</v>
      </c>
      <c r="H133" s="241">
        <f>SUM(G133/E133*100)</f>
        <v>1.9938854180513093</v>
      </c>
      <c r="I133" s="241">
        <f t="shared" ref="I133" si="45">SUM(G133/F133*100)</f>
        <v>98.253275109170303</v>
      </c>
      <c r="J133" s="270"/>
      <c r="K133" s="270"/>
      <c r="L133" s="270"/>
      <c r="M133" s="270"/>
      <c r="N133" s="270"/>
      <c r="O133" s="270"/>
      <c r="P133" s="270"/>
      <c r="Q133" s="270"/>
    </row>
    <row r="134" spans="1:17" s="271" customFormat="1" x14ac:dyDescent="0.2">
      <c r="A134" s="232"/>
      <c r="B134" s="13">
        <v>321</v>
      </c>
      <c r="C134" s="272"/>
      <c r="D134" s="236" t="s">
        <v>102</v>
      </c>
      <c r="E134" s="231">
        <f>SUM(E135)</f>
        <v>451.38</v>
      </c>
      <c r="F134" s="231">
        <f t="shared" ref="F134" si="46">SUM(F135)</f>
        <v>9.16</v>
      </c>
      <c r="G134" s="231">
        <f>SUM(G135)</f>
        <v>9</v>
      </c>
      <c r="H134" s="226"/>
      <c r="I134" s="226"/>
      <c r="J134" s="270"/>
      <c r="K134" s="270"/>
      <c r="L134" s="270"/>
      <c r="M134" s="270"/>
      <c r="N134" s="270"/>
      <c r="O134" s="270"/>
      <c r="P134" s="270"/>
      <c r="Q134" s="270"/>
    </row>
    <row r="135" spans="1:17" s="268" customFormat="1" x14ac:dyDescent="0.2">
      <c r="A135" s="234"/>
      <c r="B135" s="229" t="s">
        <v>179</v>
      </c>
      <c r="C135" s="234"/>
      <c r="D135" s="234" t="s">
        <v>101</v>
      </c>
      <c r="E135" s="230">
        <v>451.38</v>
      </c>
      <c r="F135" s="230">
        <f>SUM(POSEBNI_DIO_!C103)</f>
        <v>9.16</v>
      </c>
      <c r="G135" s="230">
        <f>SUM(POSEBNI_DIO_!D103)</f>
        <v>9</v>
      </c>
      <c r="H135" s="230"/>
      <c r="I135" s="226"/>
      <c r="J135" s="267"/>
      <c r="K135" s="267"/>
      <c r="L135" s="267"/>
      <c r="M135" s="267"/>
      <c r="N135" s="267"/>
      <c r="O135" s="267"/>
      <c r="P135" s="267"/>
      <c r="Q135" s="267"/>
    </row>
    <row r="136" spans="1:17" s="271" customFormat="1" x14ac:dyDescent="0.2">
      <c r="A136" s="232"/>
      <c r="B136" s="13">
        <v>322</v>
      </c>
      <c r="C136" s="272"/>
      <c r="D136" s="236" t="s">
        <v>103</v>
      </c>
      <c r="E136" s="231">
        <f>SUM(E137)</f>
        <v>0</v>
      </c>
      <c r="F136" s="231">
        <f t="shared" ref="F136" si="47">SUM(F137)</f>
        <v>0</v>
      </c>
      <c r="G136" s="231">
        <f>SUM(G137)</f>
        <v>0</v>
      </c>
      <c r="H136" s="226"/>
      <c r="I136" s="226"/>
      <c r="J136" s="270"/>
      <c r="K136" s="270"/>
      <c r="L136" s="270"/>
      <c r="M136" s="270"/>
      <c r="N136" s="270"/>
      <c r="O136" s="270"/>
      <c r="P136" s="270"/>
      <c r="Q136" s="270"/>
    </row>
    <row r="137" spans="1:17" s="268" customFormat="1" x14ac:dyDescent="0.2">
      <c r="A137" s="234"/>
      <c r="B137" s="229" t="s">
        <v>180</v>
      </c>
      <c r="C137" s="234"/>
      <c r="D137" s="234" t="s">
        <v>120</v>
      </c>
      <c r="E137" s="230">
        <v>0</v>
      </c>
      <c r="F137" s="230">
        <v>0</v>
      </c>
      <c r="G137" s="230">
        <v>0</v>
      </c>
      <c r="H137" s="230"/>
      <c r="I137" s="226"/>
      <c r="J137" s="267"/>
      <c r="K137" s="267"/>
      <c r="L137" s="267"/>
      <c r="M137" s="267"/>
      <c r="N137" s="267"/>
      <c r="O137" s="267"/>
      <c r="P137" s="267"/>
      <c r="Q137" s="267"/>
    </row>
    <row r="138" spans="1:17" s="271" customFormat="1" x14ac:dyDescent="0.2">
      <c r="A138" s="232"/>
      <c r="B138" s="13" t="s">
        <v>278</v>
      </c>
      <c r="C138" s="272"/>
      <c r="D138" s="236" t="s">
        <v>89</v>
      </c>
      <c r="E138" s="231">
        <f>SUM(E139)</f>
        <v>0</v>
      </c>
      <c r="F138" s="231">
        <f>SUM(F139)</f>
        <v>0</v>
      </c>
      <c r="G138" s="231">
        <f t="shared" ref="G138" si="48">SUM(G139)</f>
        <v>0</v>
      </c>
      <c r="H138" s="230"/>
      <c r="I138" s="226"/>
      <c r="J138" s="270"/>
      <c r="K138" s="270"/>
      <c r="L138" s="270"/>
      <c r="M138" s="270"/>
      <c r="N138" s="270"/>
      <c r="O138" s="270"/>
      <c r="P138" s="270"/>
      <c r="Q138" s="270"/>
    </row>
    <row r="139" spans="1:17" s="268" customFormat="1" x14ac:dyDescent="0.2">
      <c r="A139" s="234"/>
      <c r="B139" s="229" t="s">
        <v>193</v>
      </c>
      <c r="C139" s="234"/>
      <c r="D139" s="234" t="s">
        <v>279</v>
      </c>
      <c r="E139" s="230">
        <v>0</v>
      </c>
      <c r="F139" s="230">
        <v>0</v>
      </c>
      <c r="G139" s="230">
        <v>0</v>
      </c>
      <c r="H139" s="230"/>
      <c r="I139" s="226"/>
      <c r="J139" s="267"/>
      <c r="K139" s="267"/>
      <c r="L139" s="267"/>
      <c r="M139" s="267"/>
      <c r="N139" s="267"/>
      <c r="O139" s="267"/>
      <c r="P139" s="267"/>
      <c r="Q139" s="267"/>
    </row>
    <row r="140" spans="1:17" s="271" customFormat="1" ht="13.9" customHeight="1" x14ac:dyDescent="0.2">
      <c r="A140" s="249"/>
      <c r="B140" s="244"/>
      <c r="C140" s="245">
        <v>52</v>
      </c>
      <c r="D140" s="246" t="s">
        <v>21</v>
      </c>
      <c r="E140" s="247">
        <f>SUM(E133,E126)</f>
        <v>11537.749999999998</v>
      </c>
      <c r="F140" s="247">
        <f>SUM(F133,F126)</f>
        <v>15417.53</v>
      </c>
      <c r="G140" s="247">
        <f>SUM(G133,G126)</f>
        <v>15486.05</v>
      </c>
      <c r="H140" s="265">
        <f t="shared" ref="H140" si="49">SUM(G140/E140*100)</f>
        <v>134.22071027713378</v>
      </c>
      <c r="I140" s="265">
        <f>SUM(G140/F140*100)</f>
        <v>100.44442916602074</v>
      </c>
      <c r="J140" s="270"/>
      <c r="K140" s="270"/>
      <c r="L140" s="270"/>
      <c r="M140" s="270"/>
      <c r="N140" s="270"/>
      <c r="O140" s="270"/>
      <c r="P140" s="270"/>
      <c r="Q140" s="270"/>
    </row>
    <row r="141" spans="1:17" s="271" customFormat="1" x14ac:dyDescent="0.2">
      <c r="A141" s="233"/>
      <c r="B141" s="227" t="s">
        <v>280</v>
      </c>
      <c r="C141" s="233"/>
      <c r="D141" s="11" t="s">
        <v>6</v>
      </c>
      <c r="E141" s="12">
        <f t="shared" ref="E141:F141" si="50">SUM(E144,E142)</f>
        <v>0</v>
      </c>
      <c r="F141" s="12">
        <f t="shared" si="50"/>
        <v>900</v>
      </c>
      <c r="G141" s="12">
        <f>SUM(G144,G142)</f>
        <v>900</v>
      </c>
      <c r="H141" s="241"/>
      <c r="I141" s="241">
        <f t="shared" ref="I141" si="51">SUM(G141/F141*100)</f>
        <v>100</v>
      </c>
      <c r="J141" s="270"/>
      <c r="K141" s="270"/>
      <c r="L141" s="270"/>
      <c r="M141" s="270"/>
      <c r="N141" s="270"/>
      <c r="O141" s="270"/>
      <c r="P141" s="270"/>
      <c r="Q141" s="270"/>
    </row>
    <row r="142" spans="1:17" s="271" customFormat="1" x14ac:dyDescent="0.2">
      <c r="A142" s="232"/>
      <c r="B142" s="13">
        <v>322</v>
      </c>
      <c r="C142" s="272"/>
      <c r="D142" s="236" t="s">
        <v>103</v>
      </c>
      <c r="E142" s="231">
        <f t="shared" ref="E142:F142" si="52">SUM(E143)</f>
        <v>0</v>
      </c>
      <c r="F142" s="231">
        <f t="shared" si="52"/>
        <v>380.89</v>
      </c>
      <c r="G142" s="231">
        <f>SUM(G143)</f>
        <v>380.89</v>
      </c>
      <c r="H142" s="226"/>
      <c r="I142" s="226"/>
      <c r="J142" s="270"/>
      <c r="K142" s="270"/>
      <c r="L142" s="270"/>
      <c r="M142" s="270"/>
      <c r="N142" s="270"/>
      <c r="O142" s="270"/>
      <c r="P142" s="270"/>
      <c r="Q142" s="270"/>
    </row>
    <row r="143" spans="1:17" s="268" customFormat="1" x14ac:dyDescent="0.2">
      <c r="A143" s="234"/>
      <c r="B143" s="229" t="s">
        <v>180</v>
      </c>
      <c r="C143" s="234"/>
      <c r="D143" s="234" t="s">
        <v>120</v>
      </c>
      <c r="E143" s="230"/>
      <c r="F143" s="230">
        <f>SUM(POSEBNI_DIO_!C108)</f>
        <v>380.89</v>
      </c>
      <c r="G143" s="230">
        <f>SUM(POSEBNI_DIO_!D108)</f>
        <v>380.89</v>
      </c>
      <c r="H143" s="230"/>
      <c r="I143" s="226"/>
      <c r="J143" s="267"/>
      <c r="K143" s="267"/>
      <c r="L143" s="267"/>
      <c r="M143" s="267"/>
      <c r="N143" s="267"/>
      <c r="O143" s="267"/>
      <c r="P143" s="267"/>
      <c r="Q143" s="267"/>
    </row>
    <row r="144" spans="1:17" s="271" customFormat="1" x14ac:dyDescent="0.2">
      <c r="A144" s="232"/>
      <c r="B144" s="13" t="s">
        <v>278</v>
      </c>
      <c r="C144" s="272"/>
      <c r="D144" s="236" t="s">
        <v>103</v>
      </c>
      <c r="E144" s="231">
        <f t="shared" ref="E144:F144" si="53">SUM(E145:E147)</f>
        <v>0</v>
      </c>
      <c r="F144" s="231">
        <f t="shared" si="53"/>
        <v>519.11</v>
      </c>
      <c r="G144" s="231">
        <f>SUM(G145:G147)</f>
        <v>519.11</v>
      </c>
      <c r="H144" s="226"/>
      <c r="I144" s="226"/>
      <c r="J144" s="270"/>
      <c r="K144" s="270"/>
      <c r="L144" s="270"/>
      <c r="M144" s="270"/>
      <c r="N144" s="270"/>
      <c r="O144" s="270"/>
      <c r="P144" s="270"/>
      <c r="Q144" s="270"/>
    </row>
    <row r="145" spans="1:17" s="268" customFormat="1" x14ac:dyDescent="0.2">
      <c r="A145" s="234"/>
      <c r="B145" s="229" t="s">
        <v>188</v>
      </c>
      <c r="C145" s="234"/>
      <c r="D145" s="234" t="s">
        <v>189</v>
      </c>
      <c r="E145" s="230"/>
      <c r="F145" s="230">
        <f>SUM(POSEBNI_DIO_!C111)</f>
        <v>267.25</v>
      </c>
      <c r="G145" s="230">
        <f>SUM(POSEBNI_DIO_!D111)</f>
        <v>267.25</v>
      </c>
      <c r="H145" s="230"/>
      <c r="I145" s="226"/>
      <c r="J145" s="267"/>
      <c r="K145" s="267"/>
      <c r="L145" s="267"/>
      <c r="M145" s="267"/>
      <c r="N145" s="267"/>
      <c r="O145" s="267"/>
      <c r="P145" s="267"/>
      <c r="Q145" s="267"/>
    </row>
    <row r="146" spans="1:17" s="268" customFormat="1" x14ac:dyDescent="0.2">
      <c r="A146" s="234"/>
      <c r="B146" s="229" t="s">
        <v>281</v>
      </c>
      <c r="C146" s="234"/>
      <c r="D146" s="234" t="s">
        <v>123</v>
      </c>
      <c r="E146" s="230">
        <v>0</v>
      </c>
      <c r="F146" s="230">
        <f>SUM(POSEBNI_DIO_!C112)</f>
        <v>90</v>
      </c>
      <c r="G146" s="230">
        <f>SUM(POSEBNI_DIO_!D112)</f>
        <v>90</v>
      </c>
      <c r="H146" s="230"/>
      <c r="I146" s="226"/>
      <c r="J146" s="267"/>
      <c r="K146" s="267"/>
      <c r="L146" s="267"/>
      <c r="M146" s="267"/>
      <c r="N146" s="267"/>
      <c r="O146" s="267"/>
      <c r="P146" s="267"/>
      <c r="Q146" s="267"/>
    </row>
    <row r="147" spans="1:17" s="268" customFormat="1" x14ac:dyDescent="0.2">
      <c r="A147" s="234"/>
      <c r="B147" s="229" t="s">
        <v>193</v>
      </c>
      <c r="C147" s="234"/>
      <c r="D147" s="234" t="s">
        <v>279</v>
      </c>
      <c r="E147" s="230">
        <v>0</v>
      </c>
      <c r="F147" s="230">
        <f>SUM(POSEBNI_DIO_!C113)</f>
        <v>161.86000000000001</v>
      </c>
      <c r="G147" s="230">
        <f>SUM(POSEBNI_DIO_!D113)</f>
        <v>161.86000000000001</v>
      </c>
      <c r="H147" s="230"/>
      <c r="I147" s="226"/>
      <c r="J147" s="267"/>
      <c r="K147" s="267"/>
      <c r="L147" s="267"/>
      <c r="M147" s="267"/>
      <c r="N147" s="267"/>
      <c r="O147" s="267"/>
      <c r="P147" s="267"/>
      <c r="Q147" s="267"/>
    </row>
    <row r="148" spans="1:17" s="271" customFormat="1" ht="13.9" customHeight="1" x14ac:dyDescent="0.2">
      <c r="A148" s="249"/>
      <c r="B148" s="254"/>
      <c r="C148" s="245" t="s">
        <v>26</v>
      </c>
      <c r="D148" s="246" t="s">
        <v>27</v>
      </c>
      <c r="E148" s="247">
        <f>SUM(E141)</f>
        <v>0</v>
      </c>
      <c r="F148" s="247">
        <f t="shared" ref="F148:G148" si="54">SUM(F141)</f>
        <v>900</v>
      </c>
      <c r="G148" s="247">
        <f t="shared" si="54"/>
        <v>900</v>
      </c>
      <c r="H148" s="265"/>
      <c r="I148" s="265">
        <f>SUM(G148/F148*100)</f>
        <v>100</v>
      </c>
      <c r="J148" s="270"/>
      <c r="K148" s="270"/>
      <c r="L148" s="270"/>
      <c r="M148" s="270"/>
      <c r="N148" s="270"/>
      <c r="O148" s="270"/>
      <c r="P148" s="270"/>
      <c r="Q148" s="270"/>
    </row>
    <row r="149" spans="1:17" s="268" customFormat="1" x14ac:dyDescent="0.2">
      <c r="A149" s="8">
        <v>4</v>
      </c>
      <c r="B149" s="239"/>
      <c r="C149" s="13"/>
      <c r="D149" s="9" t="s">
        <v>10</v>
      </c>
      <c r="E149" s="14">
        <f>SUM(E158,E166)</f>
        <v>9559.630000000001</v>
      </c>
      <c r="F149" s="14">
        <f>SUM(F158,F166)</f>
        <v>8276.66</v>
      </c>
      <c r="G149" s="14">
        <f>SUM(G158,G166)</f>
        <v>8337.0300000000007</v>
      </c>
      <c r="H149" s="230">
        <f t="shared" ref="H149:H150" si="55">SUM(G149/E149*100)</f>
        <v>87.21080209171275</v>
      </c>
      <c r="I149" s="230">
        <f t="shared" ref="I149:I150" si="56">SUM(G149/F149*100)</f>
        <v>100.72940050696779</v>
      </c>
      <c r="J149" s="267"/>
      <c r="K149" s="267"/>
      <c r="L149" s="267"/>
      <c r="M149" s="267"/>
      <c r="N149" s="267"/>
      <c r="O149" s="267"/>
      <c r="P149" s="267"/>
      <c r="Q149" s="267"/>
    </row>
    <row r="150" spans="1:17" s="283" customFormat="1" x14ac:dyDescent="0.2">
      <c r="A150" s="233"/>
      <c r="B150" s="227">
        <v>42</v>
      </c>
      <c r="C150" s="233"/>
      <c r="D150" s="11" t="s">
        <v>7</v>
      </c>
      <c r="E150" s="12">
        <f>SUM(E151,E154,E156)</f>
        <v>9309.84</v>
      </c>
      <c r="F150" s="12">
        <f t="shared" ref="F150:G150" si="57">SUM(F151,F154,F156)</f>
        <v>7651</v>
      </c>
      <c r="G150" s="12">
        <f t="shared" si="57"/>
        <v>7650.38</v>
      </c>
      <c r="H150" s="241">
        <f t="shared" si="55"/>
        <v>82.175203870313567</v>
      </c>
      <c r="I150" s="241">
        <f t="shared" si="56"/>
        <v>99.991896484119721</v>
      </c>
      <c r="J150" s="282"/>
      <c r="K150" s="282"/>
      <c r="L150" s="282"/>
      <c r="M150" s="282"/>
      <c r="N150" s="282"/>
      <c r="O150" s="282"/>
      <c r="P150" s="282"/>
      <c r="Q150" s="282"/>
    </row>
    <row r="151" spans="1:17" s="271" customFormat="1" x14ac:dyDescent="0.2">
      <c r="A151" s="232"/>
      <c r="B151" s="13">
        <v>422</v>
      </c>
      <c r="C151" s="272"/>
      <c r="D151" s="236" t="s">
        <v>92</v>
      </c>
      <c r="E151" s="231">
        <f>SUM(E152:E153)</f>
        <v>8429.09</v>
      </c>
      <c r="F151" s="231">
        <f>SUM(F152:F153)</f>
        <v>7651</v>
      </c>
      <c r="G151" s="231">
        <f>SUM(G152:G153)</f>
        <v>7650.38</v>
      </c>
      <c r="H151" s="226"/>
      <c r="I151" s="226"/>
      <c r="J151" s="270"/>
      <c r="K151" s="270"/>
      <c r="L151" s="270"/>
      <c r="M151" s="270"/>
      <c r="N151" s="270"/>
      <c r="O151" s="270"/>
      <c r="P151" s="270"/>
      <c r="Q151" s="270"/>
    </row>
    <row r="152" spans="1:17" s="268" customFormat="1" x14ac:dyDescent="0.2">
      <c r="A152" s="234"/>
      <c r="B152" s="229" t="s">
        <v>200</v>
      </c>
      <c r="C152" s="234"/>
      <c r="D152" s="234" t="s">
        <v>201</v>
      </c>
      <c r="E152" s="230">
        <v>6853.14</v>
      </c>
      <c r="F152" s="230">
        <f>SUM(POSEBNI_DIO_!C131)</f>
        <v>7651</v>
      </c>
      <c r="G152" s="230">
        <f>SUM(POSEBNI_DIO_!D131)</f>
        <v>7650.38</v>
      </c>
      <c r="H152" s="230"/>
      <c r="I152" s="226"/>
      <c r="J152" s="267"/>
      <c r="K152" s="267"/>
      <c r="L152" s="267"/>
      <c r="M152" s="267"/>
      <c r="N152" s="267"/>
      <c r="O152" s="267"/>
      <c r="P152" s="267"/>
      <c r="Q152" s="267"/>
    </row>
    <row r="153" spans="1:17" s="268" customFormat="1" x14ac:dyDescent="0.2">
      <c r="A153" s="234"/>
      <c r="B153" s="229" t="s">
        <v>270</v>
      </c>
      <c r="C153" s="234"/>
      <c r="D153" s="234" t="s">
        <v>264</v>
      </c>
      <c r="E153" s="230">
        <v>1575.95</v>
      </c>
      <c r="F153" s="230">
        <f>SUM(POSEBNI_DIO_!C132)</f>
        <v>0</v>
      </c>
      <c r="G153" s="230">
        <f>SUM(POSEBNI_DIO_!D132)</f>
        <v>0</v>
      </c>
      <c r="H153" s="230"/>
      <c r="I153" s="226"/>
      <c r="J153" s="267"/>
      <c r="K153" s="267"/>
      <c r="L153" s="267"/>
      <c r="M153" s="267"/>
      <c r="N153" s="267"/>
      <c r="O153" s="267"/>
      <c r="P153" s="267"/>
      <c r="Q153" s="267"/>
    </row>
    <row r="154" spans="1:17" s="271" customFormat="1" x14ac:dyDescent="0.2">
      <c r="A154" s="232"/>
      <c r="B154" s="13" t="s">
        <v>274</v>
      </c>
      <c r="C154" s="272"/>
      <c r="D154" s="236" t="s">
        <v>99</v>
      </c>
      <c r="E154" s="231">
        <f>SUM(E155)</f>
        <v>0</v>
      </c>
      <c r="F154" s="231">
        <f t="shared" ref="F154:G154" si="58">SUM(F155)</f>
        <v>0</v>
      </c>
      <c r="G154" s="231">
        <f t="shared" si="58"/>
        <v>0</v>
      </c>
      <c r="H154" s="230"/>
      <c r="I154" s="226"/>
      <c r="J154" s="270"/>
      <c r="K154" s="270"/>
      <c r="L154" s="270"/>
      <c r="M154" s="270"/>
      <c r="N154" s="270"/>
      <c r="O154" s="270"/>
      <c r="P154" s="270"/>
      <c r="Q154" s="270"/>
    </row>
    <row r="155" spans="1:17" s="268" customFormat="1" x14ac:dyDescent="0.2">
      <c r="A155" s="234"/>
      <c r="B155" s="229" t="s">
        <v>276</v>
      </c>
      <c r="C155" s="234"/>
      <c r="D155" s="234" t="s">
        <v>275</v>
      </c>
      <c r="E155" s="230">
        <v>0</v>
      </c>
      <c r="F155" s="230">
        <v>0</v>
      </c>
      <c r="G155" s="230">
        <v>0</v>
      </c>
      <c r="H155" s="230"/>
      <c r="I155" s="226"/>
      <c r="J155" s="267"/>
      <c r="K155" s="267"/>
      <c r="L155" s="267"/>
      <c r="M155" s="267"/>
      <c r="N155" s="267"/>
      <c r="O155" s="267"/>
      <c r="P155" s="267"/>
      <c r="Q155" s="267"/>
    </row>
    <row r="156" spans="1:17" s="271" customFormat="1" x14ac:dyDescent="0.2">
      <c r="A156" s="232"/>
      <c r="B156" s="13">
        <v>426</v>
      </c>
      <c r="C156" s="272"/>
      <c r="D156" s="236" t="s">
        <v>100</v>
      </c>
      <c r="E156" s="231">
        <f>SUM(E157)</f>
        <v>880.75</v>
      </c>
      <c r="F156" s="231">
        <f>SUM(F157)</f>
        <v>0</v>
      </c>
      <c r="G156" s="231">
        <f>SUM(G157)</f>
        <v>0</v>
      </c>
      <c r="H156" s="226"/>
      <c r="I156" s="226"/>
      <c r="J156" s="270"/>
      <c r="K156" s="270"/>
      <c r="L156" s="270"/>
      <c r="M156" s="270"/>
      <c r="N156" s="270"/>
      <c r="O156" s="270"/>
      <c r="P156" s="270"/>
      <c r="Q156" s="270"/>
    </row>
    <row r="157" spans="1:17" s="268" customFormat="1" x14ac:dyDescent="0.2">
      <c r="A157" s="234"/>
      <c r="B157" s="229">
        <v>4262</v>
      </c>
      <c r="C157" s="234"/>
      <c r="D157" s="234" t="s">
        <v>267</v>
      </c>
      <c r="E157" s="230">
        <v>880.75</v>
      </c>
      <c r="F157" s="230">
        <f>SUM(POSEBNI_DIO_!C134)</f>
        <v>0</v>
      </c>
      <c r="G157" s="230">
        <f>SUM(POSEBNI_DIO_!D134)</f>
        <v>0</v>
      </c>
      <c r="H157" s="230"/>
      <c r="I157" s="226"/>
      <c r="J157" s="267"/>
      <c r="K157" s="267"/>
      <c r="L157" s="267"/>
      <c r="M157" s="267"/>
      <c r="N157" s="267"/>
      <c r="O157" s="267"/>
      <c r="P157" s="267"/>
      <c r="Q157" s="267"/>
    </row>
    <row r="158" spans="1:17" s="276" customFormat="1" x14ac:dyDescent="0.2">
      <c r="A158" s="253"/>
      <c r="B158" s="254"/>
      <c r="C158" s="245">
        <v>11</v>
      </c>
      <c r="D158" s="246" t="s">
        <v>31</v>
      </c>
      <c r="E158" s="251">
        <f>SUM(E150)</f>
        <v>9309.84</v>
      </c>
      <c r="F158" s="251">
        <f>SUM(F150)</f>
        <v>7651</v>
      </c>
      <c r="G158" s="251">
        <f>SUM(G150)</f>
        <v>7650.38</v>
      </c>
      <c r="H158" s="266">
        <f>SUM(G158/E158*100)</f>
        <v>82.175203870313567</v>
      </c>
      <c r="I158" s="266">
        <f>SUM(G158/F158*100)</f>
        <v>99.991896484119721</v>
      </c>
      <c r="J158" s="275"/>
      <c r="K158" s="275"/>
      <c r="L158" s="275"/>
      <c r="M158" s="275"/>
      <c r="N158" s="275"/>
      <c r="O158" s="275"/>
      <c r="P158" s="275"/>
      <c r="Q158" s="275"/>
    </row>
    <row r="159" spans="1:17" s="283" customFormat="1" x14ac:dyDescent="0.2">
      <c r="A159" s="233"/>
      <c r="B159" s="227">
        <v>42</v>
      </c>
      <c r="C159" s="233"/>
      <c r="D159" s="11" t="s">
        <v>7</v>
      </c>
      <c r="E159" s="12">
        <f>SUM(E160,E164)</f>
        <v>249.79</v>
      </c>
      <c r="F159" s="12">
        <f t="shared" ref="F159" si="59">SUM(F160,F164)</f>
        <v>625.66</v>
      </c>
      <c r="G159" s="12">
        <f>SUM(G160,G164)</f>
        <v>686.65</v>
      </c>
      <c r="H159" s="241">
        <f t="shared" ref="H159" si="60">SUM(G159/E159*100)</f>
        <v>274.89090836302495</v>
      </c>
      <c r="I159" s="241">
        <f t="shared" ref="I159" si="61">SUM(G159/F159*100)</f>
        <v>109.74810600006393</v>
      </c>
      <c r="J159" s="282"/>
      <c r="K159" s="282"/>
      <c r="L159" s="282"/>
      <c r="M159" s="282"/>
      <c r="N159" s="282"/>
      <c r="O159" s="282"/>
      <c r="P159" s="282"/>
      <c r="Q159" s="282"/>
    </row>
    <row r="160" spans="1:17" s="271" customFormat="1" x14ac:dyDescent="0.2">
      <c r="A160" s="232"/>
      <c r="B160" s="13">
        <v>422</v>
      </c>
      <c r="C160" s="272"/>
      <c r="D160" s="236" t="s">
        <v>92</v>
      </c>
      <c r="E160" s="231">
        <f t="shared" ref="E160:F160" si="62">SUM(E161:E163)</f>
        <v>249.79</v>
      </c>
      <c r="F160" s="231">
        <f t="shared" si="62"/>
        <v>625.66</v>
      </c>
      <c r="G160" s="231">
        <f>SUM(G161:G163)</f>
        <v>686.65</v>
      </c>
      <c r="H160" s="226"/>
      <c r="I160" s="226"/>
      <c r="J160" s="270"/>
      <c r="K160" s="270"/>
      <c r="L160" s="270"/>
      <c r="M160" s="270"/>
      <c r="N160" s="270"/>
      <c r="O160" s="270"/>
      <c r="P160" s="270"/>
      <c r="Q160" s="270"/>
    </row>
    <row r="161" spans="1:17" s="268" customFormat="1" x14ac:dyDescent="0.2">
      <c r="A161" s="234"/>
      <c r="B161" s="229" t="s">
        <v>200</v>
      </c>
      <c r="C161" s="234"/>
      <c r="D161" s="234" t="s">
        <v>201</v>
      </c>
      <c r="E161" s="230">
        <v>233.25</v>
      </c>
      <c r="F161" s="230">
        <f>SUM(POSEBNI_DIO_!C90)</f>
        <v>625.66</v>
      </c>
      <c r="G161" s="230">
        <f>SUM(POSEBNI_DIO_!D90)</f>
        <v>686.65</v>
      </c>
      <c r="H161" s="230"/>
      <c r="I161" s="226"/>
      <c r="J161" s="267"/>
      <c r="K161" s="267"/>
      <c r="L161" s="267"/>
      <c r="M161" s="267"/>
      <c r="N161" s="267"/>
      <c r="O161" s="267"/>
      <c r="P161" s="267"/>
      <c r="Q161" s="267"/>
    </row>
    <row r="162" spans="1:17" s="268" customFormat="1" x14ac:dyDescent="0.2">
      <c r="A162" s="234"/>
      <c r="B162" s="229" t="s">
        <v>199</v>
      </c>
      <c r="C162" s="234"/>
      <c r="D162" s="234" t="s">
        <v>277</v>
      </c>
      <c r="E162" s="230">
        <v>0</v>
      </c>
      <c r="F162" s="230"/>
      <c r="G162" s="230"/>
      <c r="H162" s="230"/>
      <c r="I162" s="226"/>
      <c r="J162" s="267"/>
      <c r="K162" s="267"/>
      <c r="L162" s="267"/>
      <c r="M162" s="267"/>
      <c r="N162" s="267"/>
      <c r="O162" s="267"/>
      <c r="P162" s="267"/>
      <c r="Q162" s="267"/>
    </row>
    <row r="163" spans="1:17" s="268" customFormat="1" x14ac:dyDescent="0.2">
      <c r="A163" s="234"/>
      <c r="B163" s="229" t="s">
        <v>270</v>
      </c>
      <c r="C163" s="234"/>
      <c r="D163" s="234" t="s">
        <v>264</v>
      </c>
      <c r="E163" s="230">
        <v>16.54</v>
      </c>
      <c r="F163" s="230"/>
      <c r="G163" s="230"/>
      <c r="H163" s="230"/>
      <c r="I163" s="226"/>
      <c r="J163" s="267"/>
      <c r="K163" s="267"/>
      <c r="L163" s="267"/>
      <c r="M163" s="267"/>
      <c r="N163" s="267"/>
      <c r="O163" s="267"/>
      <c r="P163" s="267"/>
      <c r="Q163" s="267"/>
    </row>
    <row r="164" spans="1:17" s="271" customFormat="1" x14ac:dyDescent="0.2">
      <c r="A164" s="232"/>
      <c r="B164" s="13" t="s">
        <v>274</v>
      </c>
      <c r="C164" s="272"/>
      <c r="D164" s="236" t="s">
        <v>99</v>
      </c>
      <c r="E164" s="231">
        <f>SUM(E165)</f>
        <v>0</v>
      </c>
      <c r="F164" s="231">
        <f t="shared" ref="F164:G164" si="63">SUM(F165)</f>
        <v>0</v>
      </c>
      <c r="G164" s="231">
        <f t="shared" si="63"/>
        <v>0</v>
      </c>
      <c r="H164" s="226"/>
      <c r="I164" s="226"/>
      <c r="J164" s="270"/>
      <c r="K164" s="270"/>
      <c r="L164" s="270"/>
      <c r="M164" s="270"/>
      <c r="N164" s="270"/>
      <c r="O164" s="270"/>
      <c r="P164" s="270"/>
      <c r="Q164" s="270"/>
    </row>
    <row r="165" spans="1:17" s="268" customFormat="1" x14ac:dyDescent="0.2">
      <c r="A165" s="234"/>
      <c r="B165" s="229" t="s">
        <v>276</v>
      </c>
      <c r="C165" s="234"/>
      <c r="D165" s="234" t="s">
        <v>275</v>
      </c>
      <c r="E165" s="230">
        <v>0</v>
      </c>
      <c r="F165" s="230">
        <v>0</v>
      </c>
      <c r="G165" s="230">
        <v>0</v>
      </c>
      <c r="H165" s="230"/>
      <c r="I165" s="226"/>
      <c r="J165" s="267"/>
      <c r="K165" s="267"/>
      <c r="L165" s="267"/>
      <c r="M165" s="267"/>
      <c r="N165" s="267"/>
      <c r="O165" s="267"/>
      <c r="P165" s="267"/>
      <c r="Q165" s="267"/>
    </row>
    <row r="166" spans="1:17" s="276" customFormat="1" x14ac:dyDescent="0.2">
      <c r="A166" s="253"/>
      <c r="B166" s="254"/>
      <c r="C166" s="245" t="s">
        <v>249</v>
      </c>
      <c r="D166" s="246" t="s">
        <v>32</v>
      </c>
      <c r="E166" s="251">
        <f>SUM(E160,E164)</f>
        <v>249.79</v>
      </c>
      <c r="F166" s="251">
        <f t="shared" ref="F166:G166" si="64">SUM(F160,F164)</f>
        <v>625.66</v>
      </c>
      <c r="G166" s="251">
        <f t="shared" si="64"/>
        <v>686.65</v>
      </c>
      <c r="H166" s="266">
        <f>SUM(G166/E166*100)</f>
        <v>274.89090836302495</v>
      </c>
      <c r="I166" s="266">
        <f>SUM(G166/F166*100)</f>
        <v>109.74810600006393</v>
      </c>
      <c r="J166" s="275"/>
      <c r="K166" s="275"/>
      <c r="L166" s="275"/>
      <c r="M166" s="275"/>
      <c r="N166" s="275"/>
      <c r="O166" s="275"/>
      <c r="P166" s="275"/>
      <c r="Q166" s="275"/>
    </row>
    <row r="167" spans="1:17" x14ac:dyDescent="0.2">
      <c r="A167" s="454" t="s">
        <v>17</v>
      </c>
      <c r="B167" s="454"/>
      <c r="C167" s="454"/>
      <c r="D167" s="454"/>
      <c r="E167" s="231">
        <f>SUM(E149,E44)</f>
        <v>408890.9040000001</v>
      </c>
      <c r="F167" s="231">
        <f>SUM(F149,F44)</f>
        <v>533465.96000000008</v>
      </c>
      <c r="G167" s="231">
        <f>SUM(G149,G44)</f>
        <v>515305.91999999993</v>
      </c>
      <c r="H167" s="230">
        <f>SUM(G167/E167*100)</f>
        <v>126.02528326235397</v>
      </c>
      <c r="I167" s="230">
        <f>SUM(G167/F167*100)</f>
        <v>96.595839029729262</v>
      </c>
    </row>
  </sheetData>
  <mergeCells count="7">
    <mergeCell ref="A1:I1"/>
    <mergeCell ref="A167:D167"/>
    <mergeCell ref="A4:D4"/>
    <mergeCell ref="A41:I41"/>
    <mergeCell ref="A43:D43"/>
    <mergeCell ref="A35:D35"/>
    <mergeCell ref="A2:I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 alignWithMargins="0"/>
  <ignoredErrors>
    <ignoredError sqref="I53 I114 H15:I15 H25:I25 H30:I30 H34:I35 H44:I45 H18:I18 H125 H149:I150 H86:I86 I5 H110:I110" evalError="1"/>
    <ignoredError sqref="B55:B56 C86 C110 B121 B137 B152 B161 B7:B10 C25 C29 B31:B33 C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3"/>
  <sheetViews>
    <sheetView zoomScaleNormal="100" workbookViewId="0">
      <selection activeCell="A3" sqref="A3:F3"/>
    </sheetView>
  </sheetViews>
  <sheetFormatPr defaultColWidth="9.140625" defaultRowHeight="15.75" x14ac:dyDescent="0.25"/>
  <cols>
    <col min="1" max="1" width="36.42578125" style="208" customWidth="1"/>
    <col min="2" max="2" width="17.5703125" style="208" customWidth="1"/>
    <col min="3" max="3" width="14.42578125" style="208" customWidth="1"/>
    <col min="4" max="6" width="16.28515625" style="208" customWidth="1"/>
    <col min="7" max="16384" width="9.140625" style="208"/>
  </cols>
  <sheetData>
    <row r="1" spans="1:6" x14ac:dyDescent="0.25">
      <c r="A1" s="460"/>
      <c r="B1" s="460"/>
      <c r="C1" s="460"/>
      <c r="D1" s="460"/>
      <c r="E1" s="460"/>
      <c r="F1" s="460"/>
    </row>
    <row r="2" spans="1:6" ht="15.75" customHeight="1" x14ac:dyDescent="0.25">
      <c r="A2" s="460" t="s">
        <v>311</v>
      </c>
      <c r="B2" s="460"/>
      <c r="C2" s="460"/>
      <c r="D2" s="460"/>
      <c r="E2" s="460"/>
      <c r="F2" s="460"/>
    </row>
    <row r="3" spans="1:6" x14ac:dyDescent="0.25">
      <c r="A3" s="460" t="s">
        <v>19</v>
      </c>
      <c r="B3" s="460"/>
      <c r="C3" s="460"/>
      <c r="D3" s="460"/>
      <c r="E3" s="461"/>
      <c r="F3" s="461"/>
    </row>
    <row r="4" spans="1:6" x14ac:dyDescent="0.25">
      <c r="A4" s="197"/>
      <c r="B4" s="197"/>
      <c r="C4" s="197"/>
      <c r="D4" s="197"/>
      <c r="E4" s="198"/>
      <c r="F4" s="198"/>
    </row>
    <row r="5" spans="1:6" x14ac:dyDescent="0.25">
      <c r="A5" s="460" t="s">
        <v>36</v>
      </c>
      <c r="B5" s="460"/>
      <c r="C5" s="460"/>
      <c r="D5" s="462"/>
      <c r="E5" s="462"/>
      <c r="F5" s="462"/>
    </row>
    <row r="6" spans="1:6" x14ac:dyDescent="0.25">
      <c r="A6" s="197"/>
      <c r="B6" s="197"/>
      <c r="C6" s="197"/>
      <c r="D6" s="197"/>
      <c r="E6" s="198"/>
      <c r="F6" s="198"/>
    </row>
    <row r="7" spans="1:6" x14ac:dyDescent="0.25">
      <c r="A7" s="460" t="s">
        <v>37</v>
      </c>
      <c r="B7" s="460"/>
      <c r="C7" s="460"/>
      <c r="D7" s="461"/>
      <c r="E7" s="461"/>
      <c r="F7" s="461"/>
    </row>
    <row r="8" spans="1:6" x14ac:dyDescent="0.25">
      <c r="A8" s="197"/>
      <c r="B8" s="197"/>
      <c r="C8" s="197"/>
      <c r="D8" s="197"/>
      <c r="E8" s="198"/>
      <c r="F8" s="198"/>
    </row>
    <row r="9" spans="1:6" s="295" customFormat="1" ht="30" x14ac:dyDescent="0.25">
      <c r="A9" s="294" t="s">
        <v>38</v>
      </c>
      <c r="B9" s="293" t="s">
        <v>172</v>
      </c>
      <c r="C9" s="293" t="s">
        <v>173</v>
      </c>
      <c r="D9" s="293" t="s">
        <v>174</v>
      </c>
      <c r="E9" s="293" t="s">
        <v>185</v>
      </c>
      <c r="F9" s="293" t="s">
        <v>185</v>
      </c>
    </row>
    <row r="10" spans="1:6" s="298" customFormat="1" ht="11.25" x14ac:dyDescent="0.2">
      <c r="A10" s="296">
        <v>1</v>
      </c>
      <c r="B10" s="297">
        <v>2</v>
      </c>
      <c r="C10" s="297">
        <v>3</v>
      </c>
      <c r="D10" s="297">
        <v>4</v>
      </c>
      <c r="E10" s="297" t="s">
        <v>203</v>
      </c>
      <c r="F10" s="297" t="s">
        <v>202</v>
      </c>
    </row>
    <row r="11" spans="1:6" s="374" customFormat="1" ht="15" x14ac:dyDescent="0.25">
      <c r="A11" s="372" t="s">
        <v>252</v>
      </c>
      <c r="B11" s="373">
        <f>SUM(B12)</f>
        <v>408890.9040000001</v>
      </c>
      <c r="C11" s="373">
        <f t="shared" ref="C11:D11" si="0">SUM(C12)</f>
        <v>533465.96</v>
      </c>
      <c r="D11" s="373">
        <f t="shared" si="0"/>
        <v>515305.91999999987</v>
      </c>
      <c r="E11" s="300">
        <f>SUM(D11/B11*100)</f>
        <v>126.02528326235394</v>
      </c>
      <c r="F11" s="300">
        <f>SUM(D11/C11*100)</f>
        <v>96.595839029729262</v>
      </c>
    </row>
    <row r="12" spans="1:6" s="295" customFormat="1" ht="17.25" customHeight="1" x14ac:dyDescent="0.25">
      <c r="A12" s="299" t="s">
        <v>269</v>
      </c>
      <c r="B12" s="396">
        <f>SUM(B13:B13)</f>
        <v>408890.9040000001</v>
      </c>
      <c r="C12" s="396">
        <f>SUM(C13:C13)</f>
        <v>533465.96</v>
      </c>
      <c r="D12" s="396">
        <f>SUM(D13:D13)</f>
        <v>515305.91999999987</v>
      </c>
      <c r="E12" s="397">
        <f>SUM(D12/B12*100)</f>
        <v>126.02528326235394</v>
      </c>
      <c r="F12" s="397">
        <f>SUM(D12/C12*100)</f>
        <v>96.595839029729262</v>
      </c>
    </row>
    <row r="13" spans="1:6" s="295" customFormat="1" ht="15" x14ac:dyDescent="0.25">
      <c r="A13" s="394" t="s">
        <v>268</v>
      </c>
      <c r="B13" s="395">
        <f>'RAČUN PRIHODA I RASHODA'!E167</f>
        <v>408890.9040000001</v>
      </c>
      <c r="C13" s="395">
        <f>POSEBNI_DIO_!C6</f>
        <v>533465.96</v>
      </c>
      <c r="D13" s="395">
        <f>POSEBNI_DIO_!D6</f>
        <v>515305.91999999987</v>
      </c>
      <c r="E13" s="395">
        <f t="shared" ref="E13" si="1">SUM(D13/B13*100)</f>
        <v>126.02528326235394</v>
      </c>
      <c r="F13" s="395">
        <f t="shared" ref="F13" si="2">SUM(D13/C13*100)</f>
        <v>96.595839029729262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ignoredErrors>
    <ignoredError sqref="E12:F1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>
      <selection activeCell="A2" sqref="A2:I2"/>
    </sheetView>
  </sheetViews>
  <sheetFormatPr defaultColWidth="8.85546875" defaultRowHeight="15.75" x14ac:dyDescent="0.25"/>
  <cols>
    <col min="1" max="1" width="8" style="189" customWidth="1"/>
    <col min="2" max="2" width="8.7109375" style="189" customWidth="1"/>
    <col min="3" max="3" width="5.42578125" style="189" bestFit="1" customWidth="1"/>
    <col min="4" max="4" width="32.28515625" style="189" customWidth="1"/>
    <col min="5" max="9" width="13.28515625" style="189" customWidth="1"/>
    <col min="10" max="16384" width="8.85546875" style="189"/>
  </cols>
  <sheetData>
    <row r="1" spans="1:9" x14ac:dyDescent="0.25">
      <c r="A1" s="467" t="s">
        <v>311</v>
      </c>
      <c r="B1" s="467"/>
      <c r="C1" s="467"/>
      <c r="D1" s="467"/>
      <c r="E1" s="467"/>
      <c r="F1" s="467"/>
      <c r="G1" s="467"/>
      <c r="H1" s="467"/>
      <c r="I1" s="467"/>
    </row>
    <row r="2" spans="1:9" ht="21" customHeight="1" x14ac:dyDescent="0.25">
      <c r="A2" s="463" t="s">
        <v>19</v>
      </c>
      <c r="B2" s="463"/>
      <c r="C2" s="463"/>
      <c r="D2" s="463"/>
      <c r="E2" s="463"/>
      <c r="F2" s="463"/>
      <c r="G2" s="463"/>
      <c r="H2" s="464"/>
      <c r="I2" s="464"/>
    </row>
    <row r="3" spans="1:9" x14ac:dyDescent="0.25">
      <c r="A3" s="199"/>
      <c r="B3" s="199"/>
      <c r="C3" s="199"/>
      <c r="D3" s="199"/>
      <c r="E3" s="199"/>
      <c r="F3" s="199"/>
      <c r="G3" s="199"/>
      <c r="H3" s="200"/>
      <c r="I3" s="200"/>
    </row>
    <row r="4" spans="1:9" x14ac:dyDescent="0.25">
      <c r="A4" s="463" t="s">
        <v>167</v>
      </c>
      <c r="B4" s="465"/>
      <c r="C4" s="465"/>
      <c r="D4" s="465"/>
      <c r="E4" s="465"/>
      <c r="F4" s="465"/>
      <c r="G4" s="465"/>
      <c r="H4" s="465"/>
      <c r="I4" s="465"/>
    </row>
    <row r="5" spans="1:9" s="301" customFormat="1" ht="45" x14ac:dyDescent="0.25">
      <c r="A5" s="318" t="s">
        <v>20</v>
      </c>
      <c r="B5" s="318" t="s">
        <v>34</v>
      </c>
      <c r="C5" s="318" t="s">
        <v>30</v>
      </c>
      <c r="D5" s="318" t="s">
        <v>3</v>
      </c>
      <c r="E5" s="318" t="s">
        <v>172</v>
      </c>
      <c r="F5" s="318" t="s">
        <v>173</v>
      </c>
      <c r="G5" s="318" t="s">
        <v>174</v>
      </c>
      <c r="H5" s="318" t="s">
        <v>185</v>
      </c>
      <c r="I5" s="318" t="s">
        <v>185</v>
      </c>
    </row>
    <row r="6" spans="1:9" s="302" customFormat="1" ht="12" x14ac:dyDescent="0.2">
      <c r="A6" s="466">
        <v>1</v>
      </c>
      <c r="B6" s="466"/>
      <c r="C6" s="466"/>
      <c r="D6" s="466"/>
      <c r="E6" s="304">
        <v>2</v>
      </c>
      <c r="F6" s="304">
        <v>3</v>
      </c>
      <c r="G6" s="304">
        <v>4</v>
      </c>
      <c r="H6" s="304" t="s">
        <v>203</v>
      </c>
      <c r="I6" s="304" t="s">
        <v>202</v>
      </c>
    </row>
    <row r="7" spans="1:9" ht="31.5" x14ac:dyDescent="0.25">
      <c r="A7" s="303">
        <v>8</v>
      </c>
      <c r="B7" s="305"/>
      <c r="C7" s="305"/>
      <c r="D7" s="305" t="s">
        <v>168</v>
      </c>
      <c r="E7" s="319">
        <f>SUM(E8)</f>
        <v>0</v>
      </c>
      <c r="F7" s="319">
        <f t="shared" ref="F7:G7" si="0">SUM(F8)</f>
        <v>0</v>
      </c>
      <c r="G7" s="319">
        <f t="shared" si="0"/>
        <v>0</v>
      </c>
      <c r="H7" s="306"/>
      <c r="I7" s="306"/>
    </row>
    <row r="8" spans="1:9" s="328" customFormat="1" x14ac:dyDescent="0.25">
      <c r="A8" s="327"/>
      <c r="B8" s="327">
        <v>84</v>
      </c>
      <c r="C8" s="314"/>
      <c r="D8" s="315" t="s">
        <v>169</v>
      </c>
      <c r="E8" s="320">
        <f>SUM(E9)</f>
        <v>0</v>
      </c>
      <c r="F8" s="320">
        <f>SUM(F9)</f>
        <v>0</v>
      </c>
      <c r="G8" s="320">
        <f t="shared" ref="G8:G9" si="1">SUM(G9)</f>
        <v>0</v>
      </c>
      <c r="H8" s="306"/>
      <c r="I8" s="306"/>
    </row>
    <row r="9" spans="1:9" s="328" customFormat="1" ht="47.25" x14ac:dyDescent="0.25">
      <c r="A9" s="327"/>
      <c r="B9" s="327" t="s">
        <v>222</v>
      </c>
      <c r="C9" s="314"/>
      <c r="D9" s="320" t="s">
        <v>223</v>
      </c>
      <c r="E9" s="320">
        <f>SUM(E10)</f>
        <v>0</v>
      </c>
      <c r="F9" s="320">
        <f>SUM(F10)</f>
        <v>0</v>
      </c>
      <c r="G9" s="320">
        <f t="shared" si="1"/>
        <v>0</v>
      </c>
      <c r="H9" s="306"/>
      <c r="I9" s="306"/>
    </row>
    <row r="10" spans="1:9" ht="31.5" x14ac:dyDescent="0.25">
      <c r="A10" s="316"/>
      <c r="B10" s="316">
        <v>8422</v>
      </c>
      <c r="C10" s="317"/>
      <c r="D10" s="321" t="s">
        <v>221</v>
      </c>
      <c r="E10" s="321">
        <v>0</v>
      </c>
      <c r="F10" s="321">
        <v>0</v>
      </c>
      <c r="G10" s="209">
        <v>0</v>
      </c>
      <c r="H10" s="325"/>
      <c r="I10" s="325"/>
    </row>
    <row r="11" spans="1:9" s="201" customFormat="1" ht="31.5" x14ac:dyDescent="0.25">
      <c r="A11" s="308"/>
      <c r="B11" s="309"/>
      <c r="C11" s="310">
        <v>81</v>
      </c>
      <c r="D11" s="311" t="s">
        <v>116</v>
      </c>
      <c r="E11" s="326">
        <f>SUM(E7)</f>
        <v>0</v>
      </c>
      <c r="F11" s="326">
        <f t="shared" ref="F11:G11" si="2">SUM(F7)</f>
        <v>0</v>
      </c>
      <c r="G11" s="326">
        <f t="shared" si="2"/>
        <v>0</v>
      </c>
      <c r="H11" s="325"/>
      <c r="I11" s="325"/>
    </row>
    <row r="12" spans="1:9" ht="31.5" x14ac:dyDescent="0.25">
      <c r="A12" s="312">
        <v>5</v>
      </c>
      <c r="B12" s="313"/>
      <c r="C12" s="314"/>
      <c r="D12" s="315" t="s">
        <v>170</v>
      </c>
      <c r="E12" s="320">
        <f>SUM(E13)</f>
        <v>0</v>
      </c>
      <c r="F12" s="320">
        <f t="shared" ref="F12:G14" si="3">SUM(F13)</f>
        <v>0</v>
      </c>
      <c r="G12" s="320">
        <f t="shared" si="3"/>
        <v>0</v>
      </c>
      <c r="H12" s="306"/>
      <c r="I12" s="306"/>
    </row>
    <row r="13" spans="1:9" s="328" customFormat="1" ht="31.5" x14ac:dyDescent="0.25">
      <c r="A13" s="327"/>
      <c r="B13" s="327">
        <v>54</v>
      </c>
      <c r="C13" s="314"/>
      <c r="D13" s="315" t="s">
        <v>171</v>
      </c>
      <c r="E13" s="320">
        <f>SUM(E14)</f>
        <v>0</v>
      </c>
      <c r="F13" s="320">
        <f>SUM(F14)</f>
        <v>0</v>
      </c>
      <c r="G13" s="320">
        <f t="shared" si="3"/>
        <v>0</v>
      </c>
      <c r="H13" s="306"/>
      <c r="I13" s="306"/>
    </row>
    <row r="14" spans="1:9" s="328" customFormat="1" ht="63" x14ac:dyDescent="0.25">
      <c r="A14" s="327"/>
      <c r="B14" s="327" t="s">
        <v>224</v>
      </c>
      <c r="C14" s="314"/>
      <c r="D14" s="320" t="s">
        <v>225</v>
      </c>
      <c r="E14" s="320">
        <f>SUM(E15)</f>
        <v>0</v>
      </c>
      <c r="F14" s="320">
        <f>SUM(F15)</f>
        <v>0</v>
      </c>
      <c r="G14" s="320">
        <f t="shared" si="3"/>
        <v>0</v>
      </c>
      <c r="H14" s="306"/>
      <c r="I14" s="306"/>
    </row>
    <row r="15" spans="1:9" ht="47.25" x14ac:dyDescent="0.25">
      <c r="A15" s="316"/>
      <c r="B15" s="316" t="s">
        <v>226</v>
      </c>
      <c r="C15" s="317"/>
      <c r="D15" s="321" t="s">
        <v>227</v>
      </c>
      <c r="E15" s="321">
        <v>0</v>
      </c>
      <c r="F15" s="321">
        <v>0</v>
      </c>
      <c r="G15" s="209">
        <v>0</v>
      </c>
      <c r="H15" s="325"/>
      <c r="I15" s="325"/>
    </row>
    <row r="16" spans="1:9" s="201" customFormat="1" x14ac:dyDescent="0.25">
      <c r="A16" s="308"/>
      <c r="B16" s="309"/>
      <c r="C16" s="310">
        <v>11</v>
      </c>
      <c r="D16" s="311" t="s">
        <v>29</v>
      </c>
      <c r="E16" s="326"/>
      <c r="F16" s="326"/>
      <c r="G16" s="326"/>
      <c r="H16" s="325"/>
      <c r="I16" s="325"/>
    </row>
    <row r="17" spans="1:9" x14ac:dyDescent="0.25">
      <c r="H17" s="361"/>
      <c r="I17" s="361"/>
    </row>
    <row r="18" spans="1:9" ht="45" x14ac:dyDescent="0.25">
      <c r="A18" s="362" t="s">
        <v>20</v>
      </c>
      <c r="B18" s="362" t="s">
        <v>34</v>
      </c>
      <c r="C18" s="362" t="s">
        <v>30</v>
      </c>
      <c r="D18" s="363" t="s">
        <v>3</v>
      </c>
      <c r="E18" s="318" t="s">
        <v>172</v>
      </c>
      <c r="F18" s="318" t="s">
        <v>173</v>
      </c>
      <c r="G18" s="318" t="s">
        <v>174</v>
      </c>
      <c r="H18" s="318" t="s">
        <v>185</v>
      </c>
      <c r="I18" s="318" t="s">
        <v>185</v>
      </c>
    </row>
    <row r="19" spans="1:9" x14ac:dyDescent="0.25">
      <c r="A19" s="466">
        <v>1</v>
      </c>
      <c r="B19" s="466"/>
      <c r="C19" s="466"/>
      <c r="D19" s="466"/>
      <c r="E19" s="304">
        <v>2</v>
      </c>
      <c r="F19" s="304">
        <v>3</v>
      </c>
      <c r="G19" s="304">
        <v>4</v>
      </c>
      <c r="H19" s="304" t="s">
        <v>203</v>
      </c>
      <c r="I19" s="304" t="s">
        <v>202</v>
      </c>
    </row>
    <row r="20" spans="1:9" x14ac:dyDescent="0.25">
      <c r="A20" s="364" t="s">
        <v>231</v>
      </c>
      <c r="B20" s="364"/>
      <c r="C20" s="364"/>
      <c r="D20" s="364"/>
      <c r="E20" s="365">
        <f>SUM(E21:E28)</f>
        <v>23077.5</v>
      </c>
      <c r="F20" s="365">
        <f>SUM(F21:F28)</f>
        <v>40644.740000000005</v>
      </c>
      <c r="G20" s="365">
        <f>SUM(G21:G28)</f>
        <v>40644.740000000005</v>
      </c>
      <c r="H20" s="365">
        <f t="shared" ref="H20" si="4">SUM(G20/E20*100)</f>
        <v>176.12280359657677</v>
      </c>
      <c r="I20" s="365">
        <f t="shared" ref="I20" si="5">SUM(G20/F20*100)</f>
        <v>100</v>
      </c>
    </row>
    <row r="21" spans="1:9" x14ac:dyDescent="0.25">
      <c r="A21" s="362"/>
      <c r="B21" s="362"/>
      <c r="C21" s="366" t="s">
        <v>247</v>
      </c>
      <c r="D21" s="367" t="s">
        <v>232</v>
      </c>
      <c r="E21" s="368"/>
      <c r="F21" s="368"/>
      <c r="G21" s="368"/>
      <c r="H21" s="371"/>
      <c r="I21" s="371"/>
    </row>
    <row r="22" spans="1:9" x14ac:dyDescent="0.25">
      <c r="A22" s="362"/>
      <c r="B22" s="362"/>
      <c r="C22" s="366" t="s">
        <v>229</v>
      </c>
      <c r="D22" s="367" t="s">
        <v>233</v>
      </c>
      <c r="E22" s="368"/>
      <c r="F22" s="368"/>
      <c r="G22" s="368"/>
      <c r="H22" s="371"/>
      <c r="I22" s="371"/>
    </row>
    <row r="23" spans="1:9" x14ac:dyDescent="0.25">
      <c r="A23" s="362"/>
      <c r="B23" s="362"/>
      <c r="C23" s="366" t="s">
        <v>234</v>
      </c>
      <c r="D23" s="367" t="s">
        <v>235</v>
      </c>
      <c r="E23" s="368">
        <v>8167</v>
      </c>
      <c r="F23" s="368">
        <v>11579.57</v>
      </c>
      <c r="G23" s="368">
        <v>11579.57</v>
      </c>
      <c r="H23" s="371"/>
      <c r="I23" s="371">
        <f t="shared" ref="I23:I33" si="6">SUM(G23/F23*100)</f>
        <v>100</v>
      </c>
    </row>
    <row r="24" spans="1:9" x14ac:dyDescent="0.25">
      <c r="A24" s="362"/>
      <c r="B24" s="362"/>
      <c r="C24" s="366" t="s">
        <v>236</v>
      </c>
      <c r="D24" s="367" t="s">
        <v>237</v>
      </c>
      <c r="E24" s="368">
        <v>3515.5</v>
      </c>
      <c r="F24" s="368">
        <v>6802.52</v>
      </c>
      <c r="G24" s="368">
        <v>6802.52</v>
      </c>
      <c r="H24" s="371">
        <f t="shared" ref="H24:H34" si="7">SUM(G24/E24*100)</f>
        <v>193.50078225003557</v>
      </c>
      <c r="I24" s="371">
        <f t="shared" si="6"/>
        <v>100</v>
      </c>
    </row>
    <row r="25" spans="1:9" x14ac:dyDescent="0.25">
      <c r="A25" s="362"/>
      <c r="B25" s="362"/>
      <c r="C25" s="366" t="s">
        <v>238</v>
      </c>
      <c r="D25" s="367" t="s">
        <v>239</v>
      </c>
      <c r="E25" s="368">
        <v>11395</v>
      </c>
      <c r="F25" s="368">
        <v>22262.65</v>
      </c>
      <c r="G25" s="368">
        <f>15018.53+7244.12</f>
        <v>22262.65</v>
      </c>
      <c r="H25" s="371">
        <f t="shared" si="7"/>
        <v>195.37209302325581</v>
      </c>
      <c r="I25" s="371"/>
    </row>
    <row r="26" spans="1:9" x14ac:dyDescent="0.25">
      <c r="A26" s="362"/>
      <c r="B26" s="362"/>
      <c r="C26" s="366" t="s">
        <v>240</v>
      </c>
      <c r="D26" s="367" t="s">
        <v>241</v>
      </c>
      <c r="E26" s="368"/>
      <c r="F26" s="368"/>
      <c r="G26" s="368"/>
      <c r="H26" s="371"/>
      <c r="I26" s="371"/>
    </row>
    <row r="27" spans="1:9" ht="47.25" x14ac:dyDescent="0.25">
      <c r="A27" s="362"/>
      <c r="B27" s="362"/>
      <c r="C27" s="366" t="s">
        <v>242</v>
      </c>
      <c r="D27" s="369" t="s">
        <v>243</v>
      </c>
      <c r="E27" s="368"/>
      <c r="F27" s="368"/>
      <c r="G27" s="368"/>
      <c r="H27" s="371"/>
      <c r="I27" s="371"/>
    </row>
    <row r="28" spans="1:9" x14ac:dyDescent="0.25">
      <c r="A28" s="362"/>
      <c r="B28" s="362"/>
      <c r="C28" s="366" t="s">
        <v>244</v>
      </c>
      <c r="D28" s="367" t="s">
        <v>245</v>
      </c>
      <c r="E28" s="368"/>
      <c r="F28" s="368"/>
      <c r="G28" s="368"/>
      <c r="H28" s="371"/>
      <c r="I28" s="371"/>
    </row>
    <row r="29" spans="1:9" x14ac:dyDescent="0.25">
      <c r="A29" s="364" t="s">
        <v>246</v>
      </c>
      <c r="B29" s="364"/>
      <c r="C29" s="364"/>
      <c r="D29" s="364"/>
      <c r="E29" s="365">
        <f>SUM(E30:E37)</f>
        <v>40644.99599999997</v>
      </c>
      <c r="F29" s="365">
        <f>SUM(F30:F37)</f>
        <v>19003.78</v>
      </c>
      <c r="G29" s="365">
        <f>SUM(G30:G37)</f>
        <v>32208.100000000006</v>
      </c>
      <c r="H29" s="365">
        <f t="shared" si="7"/>
        <v>79.242473046374585</v>
      </c>
      <c r="I29" s="365">
        <f t="shared" si="6"/>
        <v>169.48259767267356</v>
      </c>
    </row>
    <row r="30" spans="1:9" x14ac:dyDescent="0.25">
      <c r="A30" s="370"/>
      <c r="B30" s="370"/>
      <c r="C30" s="366" t="s">
        <v>247</v>
      </c>
      <c r="D30" s="367" t="s">
        <v>232</v>
      </c>
      <c r="E30" s="371">
        <f>E21+'RAČUN PRIHODA I RASHODA'!E34-'RAČUN PRIHODA I RASHODA'!E86-'RAČUN PRIHODA I RASHODA'!E158</f>
        <v>-5.40000000364671E-2</v>
      </c>
      <c r="F30" s="371"/>
      <c r="G30" s="371">
        <f>G21+'RAČUN PRIHODA I RASHODA'!G34-'RAČUN PRIHODA I RASHODA'!G86-'RAČUN PRIHODA I RASHODA'!G158</f>
        <v>0</v>
      </c>
      <c r="H30" s="371"/>
      <c r="I30" s="371"/>
    </row>
    <row r="31" spans="1:9" x14ac:dyDescent="0.25">
      <c r="A31" s="370"/>
      <c r="B31" s="370"/>
      <c r="C31" s="366" t="s">
        <v>229</v>
      </c>
      <c r="D31" s="367" t="s">
        <v>233</v>
      </c>
      <c r="E31" s="371"/>
      <c r="F31" s="371"/>
      <c r="G31" s="371"/>
      <c r="H31" s="371"/>
      <c r="I31" s="371"/>
    </row>
    <row r="32" spans="1:9" x14ac:dyDescent="0.25">
      <c r="A32" s="370"/>
      <c r="B32" s="370"/>
      <c r="C32" s="366" t="s">
        <v>234</v>
      </c>
      <c r="D32" s="367" t="s">
        <v>235</v>
      </c>
      <c r="E32" s="371">
        <f>E23+'RAČUN PRIHODA I RASHODA'!E25-'RAČUN PRIHODA I RASHODA'!E110</f>
        <v>11579.65</v>
      </c>
      <c r="F32" s="371">
        <f>F23+'RAČUN PRIHODA I RASHODA'!F25-'RAČUN PRIHODA I RASHODA'!F110</f>
        <v>8482.7999999999993</v>
      </c>
      <c r="G32" s="371">
        <f>G23+'RAČUN PRIHODA I RASHODA'!G25-'RAČUN PRIHODA I RASHODA'!G110</f>
        <v>16582.050000000003</v>
      </c>
      <c r="H32" s="371">
        <f t="shared" si="7"/>
        <v>143.19992400461157</v>
      </c>
      <c r="I32" s="371">
        <f t="shared" si="6"/>
        <v>195.47849766586509</v>
      </c>
    </row>
    <row r="33" spans="1:9" x14ac:dyDescent="0.25">
      <c r="A33" s="370"/>
      <c r="B33" s="370"/>
      <c r="C33" s="366" t="s">
        <v>236</v>
      </c>
      <c r="D33" s="367" t="s">
        <v>237</v>
      </c>
      <c r="E33" s="371">
        <f>E24+'RAČUN PRIHODA I RASHODA'!E18-'RAČUN PRIHODA I RASHODA'!E125-'RAČUN PRIHODA I RASHODA'!E166</f>
        <v>6802.87</v>
      </c>
      <c r="F33" s="371">
        <f>F24+'RAČUN PRIHODA I RASHODA'!F18-'RAČUN PRIHODA I RASHODA'!F125-'RAČUN PRIHODA I RASHODA'!F166</f>
        <v>3276.8600000000006</v>
      </c>
      <c r="G33" s="371">
        <f>G24+'RAČUN PRIHODA I RASHODA'!G18-'RAČUN PRIHODA I RASHODA'!G125-'RAČUN PRIHODA I RASHODA'!G166</f>
        <v>8381.77</v>
      </c>
      <c r="H33" s="371">
        <f t="shared" si="7"/>
        <v>123.20932194794256</v>
      </c>
      <c r="I33" s="371">
        <f t="shared" si="6"/>
        <v>255.78663720757064</v>
      </c>
    </row>
    <row r="34" spans="1:9" x14ac:dyDescent="0.25">
      <c r="A34" s="370"/>
      <c r="B34" s="370"/>
      <c r="C34" s="366" t="s">
        <v>238</v>
      </c>
      <c r="D34" s="367" t="s">
        <v>239</v>
      </c>
      <c r="E34" s="371">
        <f>E25+'RAČUN PRIHODA I RASHODA'!E14-'RAČUN PRIHODA I RASHODA'!E140+7244.12</f>
        <v>22262.530000000002</v>
      </c>
      <c r="F34" s="371">
        <f>F25+'RAČUN PRIHODA I RASHODA'!F14-'RAČUN PRIHODA I RASHODA'!F140</f>
        <v>7244.1200000000008</v>
      </c>
      <c r="G34" s="371">
        <f>G25+'RAČUN PRIHODA I RASHODA'!G14-'RAČUN PRIHODA I RASHODA'!G140</f>
        <v>7244.2800000000025</v>
      </c>
      <c r="H34" s="371">
        <f t="shared" si="7"/>
        <v>32.540236891314692</v>
      </c>
      <c r="I34" s="371"/>
    </row>
    <row r="35" spans="1:9" x14ac:dyDescent="0.25">
      <c r="A35" s="370"/>
      <c r="B35" s="370"/>
      <c r="C35" s="366" t="s">
        <v>240</v>
      </c>
      <c r="D35" s="367" t="s">
        <v>248</v>
      </c>
      <c r="E35" s="371"/>
      <c r="F35" s="371">
        <f>F26+'RAČUN PRIHODA I RASHODA'!F29-'RAČUN PRIHODA I RASHODA'!F148</f>
        <v>0</v>
      </c>
      <c r="G35" s="371">
        <f>G26+'RAČUN PRIHODA I RASHODA'!G29-'RAČUN PRIHODA I RASHODA'!G148</f>
        <v>0</v>
      </c>
      <c r="H35" s="371"/>
      <c r="I35" s="371"/>
    </row>
    <row r="36" spans="1:9" ht="47.25" x14ac:dyDescent="0.25">
      <c r="A36" s="370"/>
      <c r="B36" s="370"/>
      <c r="C36" s="366" t="s">
        <v>242</v>
      </c>
      <c r="D36" s="369" t="s">
        <v>243</v>
      </c>
      <c r="E36" s="371"/>
      <c r="F36" s="371"/>
      <c r="G36" s="371"/>
      <c r="H36" s="371"/>
      <c r="I36" s="371"/>
    </row>
    <row r="37" spans="1:9" x14ac:dyDescent="0.25">
      <c r="A37" s="370"/>
      <c r="B37" s="370"/>
      <c r="C37" s="366" t="s">
        <v>244</v>
      </c>
      <c r="D37" s="367" t="s">
        <v>245</v>
      </c>
      <c r="E37" s="371"/>
      <c r="F37" s="371"/>
      <c r="G37" s="371"/>
      <c r="H37" s="371"/>
      <c r="I37" s="371"/>
    </row>
  </sheetData>
  <mergeCells count="5">
    <mergeCell ref="A2:I2"/>
    <mergeCell ref="A4:I4"/>
    <mergeCell ref="A6:D6"/>
    <mergeCell ref="A1:I1"/>
    <mergeCell ref="A19:D19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H20:I20 H24:I24 I23 H29:I29 H32:I33 H34 H25" evalError="1"/>
    <ignoredError sqref="B9 B14:B15 C22:C28 C30:C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4"/>
  <sheetViews>
    <sheetView tabSelected="1" zoomScaleNormal="100" workbookViewId="0">
      <selection sqref="A1:E1"/>
    </sheetView>
  </sheetViews>
  <sheetFormatPr defaultColWidth="9.140625" defaultRowHeight="15.75" x14ac:dyDescent="0.25"/>
  <cols>
    <col min="1" max="1" width="12.42578125" style="221" customWidth="1"/>
    <col min="2" max="2" width="52.28515625" style="221" customWidth="1"/>
    <col min="3" max="3" width="11.85546875" style="221" bestFit="1" customWidth="1"/>
    <col min="4" max="4" width="11.42578125" style="221" bestFit="1" customWidth="1"/>
    <col min="5" max="5" width="9.42578125" style="204" customWidth="1"/>
    <col min="6" max="7" width="15.140625" style="204" customWidth="1"/>
    <col min="8" max="9" width="10.7109375" style="204" bestFit="1" customWidth="1"/>
    <col min="10" max="10" width="10.28515625" style="204" bestFit="1" customWidth="1"/>
    <col min="11" max="11" width="11.85546875" style="204" bestFit="1" customWidth="1"/>
    <col min="12" max="12" width="15.42578125" style="204" customWidth="1"/>
    <col min="13" max="13" width="9.140625" style="204" customWidth="1"/>
    <col min="14" max="16384" width="9.140625" style="204"/>
  </cols>
  <sheetData>
    <row r="1" spans="1:7" ht="15.75" customHeight="1" x14ac:dyDescent="0.25">
      <c r="A1" s="467" t="s">
        <v>311</v>
      </c>
      <c r="B1" s="467"/>
      <c r="C1" s="467"/>
      <c r="D1" s="467"/>
      <c r="E1" s="467"/>
      <c r="F1" s="190"/>
      <c r="G1" s="212"/>
    </row>
    <row r="2" spans="1:7" s="202" customFormat="1" ht="15.75" customHeight="1" x14ac:dyDescent="0.25">
      <c r="A2" s="467" t="s">
        <v>46</v>
      </c>
      <c r="B2" s="467"/>
      <c r="C2" s="467"/>
      <c r="D2" s="467"/>
      <c r="E2" s="467"/>
    </row>
    <row r="3" spans="1:7" s="207" customFormat="1" x14ac:dyDescent="0.25">
      <c r="A3" s="210"/>
      <c r="B3" s="210"/>
      <c r="C3" s="211"/>
      <c r="D3" s="211"/>
      <c r="E3" s="213"/>
      <c r="F3" s="213"/>
      <c r="G3" s="213"/>
    </row>
    <row r="4" spans="1:7" s="207" customFormat="1" ht="47.25" x14ac:dyDescent="0.25">
      <c r="A4" s="329" t="s">
        <v>39</v>
      </c>
      <c r="B4" s="329" t="s">
        <v>40</v>
      </c>
      <c r="C4" s="330" t="s">
        <v>173</v>
      </c>
      <c r="D4" s="330" t="s">
        <v>174</v>
      </c>
      <c r="E4" s="330" t="s">
        <v>185</v>
      </c>
      <c r="F4" s="213"/>
      <c r="G4" s="213"/>
    </row>
    <row r="5" spans="1:7" s="225" customFormat="1" ht="11.25" x14ac:dyDescent="0.2">
      <c r="A5" s="468">
        <v>1</v>
      </c>
      <c r="B5" s="468"/>
      <c r="C5" s="331">
        <v>2</v>
      </c>
      <c r="D5" s="331">
        <v>3</v>
      </c>
      <c r="E5" s="332" t="s">
        <v>228</v>
      </c>
      <c r="F5" s="224"/>
      <c r="G5" s="224"/>
    </row>
    <row r="6" spans="1:7" s="207" customFormat="1" x14ac:dyDescent="0.25">
      <c r="A6" s="333" t="s">
        <v>254</v>
      </c>
      <c r="B6" s="334" t="s">
        <v>255</v>
      </c>
      <c r="C6" s="335">
        <f>SUM(C7,C114)</f>
        <v>533465.96</v>
      </c>
      <c r="D6" s="335">
        <f>SUM(D7,D114)</f>
        <v>515305.91999999987</v>
      </c>
      <c r="E6" s="335">
        <f>SUM(D6/C6*100)</f>
        <v>96.595839029729262</v>
      </c>
      <c r="F6" s="213"/>
      <c r="G6" s="213"/>
    </row>
    <row r="7" spans="1:7" s="207" customFormat="1" x14ac:dyDescent="0.25">
      <c r="A7" s="333" t="s">
        <v>253</v>
      </c>
      <c r="B7" s="336" t="s">
        <v>256</v>
      </c>
      <c r="C7" s="335">
        <f>SUM(C8,C47,C71,C92,C104)</f>
        <v>499929.96</v>
      </c>
      <c r="D7" s="335">
        <f>SUM(D8,D47,D71,D92,D104)</f>
        <v>481854.68999999989</v>
      </c>
      <c r="E7" s="335">
        <f>SUM(D7/C7*100)</f>
        <v>96.384439532289662</v>
      </c>
      <c r="F7" s="213"/>
      <c r="G7" s="213"/>
    </row>
    <row r="8" spans="1:7" s="215" customFormat="1" ht="15" customHeight="1" x14ac:dyDescent="0.25">
      <c r="A8" s="337">
        <v>11</v>
      </c>
      <c r="B8" s="337" t="s">
        <v>29</v>
      </c>
      <c r="C8" s="338">
        <f>SUM(C9)</f>
        <v>466590</v>
      </c>
      <c r="D8" s="338">
        <f>SUM(D9)</f>
        <v>455621.71999999991</v>
      </c>
      <c r="E8" s="338">
        <f>SUM(D8/C8*100)</f>
        <v>97.649268094044004</v>
      </c>
      <c r="F8" s="213"/>
      <c r="G8" s="214"/>
    </row>
    <row r="9" spans="1:7" s="216" customFormat="1" x14ac:dyDescent="0.2">
      <c r="A9" s="339">
        <v>3</v>
      </c>
      <c r="B9" s="340" t="s">
        <v>33</v>
      </c>
      <c r="C9" s="341">
        <f>SUM(C10,C18,C44)</f>
        <v>466590</v>
      </c>
      <c r="D9" s="341">
        <f>SUM(D10,D18,D44)</f>
        <v>455621.71999999991</v>
      </c>
      <c r="E9" s="341">
        <f>SUM(D9/C9*100)</f>
        <v>97.649268094044004</v>
      </c>
      <c r="F9" s="213"/>
    </row>
    <row r="10" spans="1:7" s="207" customFormat="1" ht="14.25" customHeight="1" x14ac:dyDescent="0.25">
      <c r="A10" s="342">
        <v>31</v>
      </c>
      <c r="B10" s="343" t="s">
        <v>5</v>
      </c>
      <c r="C10" s="344">
        <f>SUM(C11,C14,C16)</f>
        <v>381850</v>
      </c>
      <c r="D10" s="344">
        <f>SUM(D11,D14,D16)</f>
        <v>375449.62999999995</v>
      </c>
      <c r="E10" s="344">
        <f>SUM(D10/C10*100)</f>
        <v>98.323852298022771</v>
      </c>
      <c r="F10" s="213"/>
      <c r="G10" s="213"/>
    </row>
    <row r="11" spans="1:7" s="217" customFormat="1" ht="14.25" customHeight="1" x14ac:dyDescent="0.25">
      <c r="A11" s="322">
        <v>311</v>
      </c>
      <c r="B11" s="345" t="s">
        <v>95</v>
      </c>
      <c r="C11" s="346">
        <f>SUM(C12:C13)</f>
        <v>318241</v>
      </c>
      <c r="D11" s="346">
        <f>SUM(D12:D13)</f>
        <v>315572.90999999997</v>
      </c>
      <c r="E11" s="346"/>
      <c r="F11" s="213"/>
      <c r="G11" s="218"/>
    </row>
    <row r="12" spans="1:7" ht="14.25" customHeight="1" x14ac:dyDescent="0.25">
      <c r="A12" s="323">
        <v>3111</v>
      </c>
      <c r="B12" s="347" t="s">
        <v>175</v>
      </c>
      <c r="C12" s="348">
        <v>318100</v>
      </c>
      <c r="D12" s="348">
        <v>315432.28999999998</v>
      </c>
      <c r="E12" s="348"/>
      <c r="F12" s="213"/>
      <c r="G12" s="222"/>
    </row>
    <row r="13" spans="1:7" ht="14.25" customHeight="1" x14ac:dyDescent="0.25">
      <c r="A13" s="323">
        <v>3114</v>
      </c>
      <c r="B13" s="347" t="s">
        <v>259</v>
      </c>
      <c r="C13" s="348">
        <v>141</v>
      </c>
      <c r="D13" s="348">
        <v>140.62</v>
      </c>
      <c r="E13" s="348"/>
      <c r="F13" s="213"/>
      <c r="G13" s="222"/>
    </row>
    <row r="14" spans="1:7" s="217" customFormat="1" ht="14.25" customHeight="1" x14ac:dyDescent="0.25">
      <c r="A14" s="322">
        <v>312</v>
      </c>
      <c r="B14" s="345" t="s">
        <v>260</v>
      </c>
      <c r="C14" s="346">
        <f>SUM(C15)</f>
        <v>14000</v>
      </c>
      <c r="D14" s="346">
        <f>SUM(D15)</f>
        <v>10781.86</v>
      </c>
      <c r="E14" s="346"/>
      <c r="F14" s="213"/>
      <c r="G14" s="218"/>
    </row>
    <row r="15" spans="1:7" ht="14.25" customHeight="1" x14ac:dyDescent="0.25">
      <c r="A15" s="323">
        <v>3121</v>
      </c>
      <c r="B15" s="347" t="s">
        <v>260</v>
      </c>
      <c r="C15" s="348">
        <v>14000</v>
      </c>
      <c r="D15" s="348">
        <v>10781.86</v>
      </c>
      <c r="E15" s="348"/>
      <c r="F15" s="213"/>
      <c r="G15" s="222"/>
    </row>
    <row r="16" spans="1:7" s="217" customFormat="1" ht="14.25" customHeight="1" x14ac:dyDescent="0.25">
      <c r="A16" s="322">
        <v>313</v>
      </c>
      <c r="B16" s="345" t="s">
        <v>96</v>
      </c>
      <c r="C16" s="341">
        <f>SUM(C17:C17)</f>
        <v>49609</v>
      </c>
      <c r="D16" s="341">
        <f>SUM(D17:D17)</f>
        <v>49094.86</v>
      </c>
      <c r="E16" s="341"/>
      <c r="F16" s="213"/>
      <c r="G16" s="218"/>
    </row>
    <row r="17" spans="1:7" ht="14.25" customHeight="1" x14ac:dyDescent="0.25">
      <c r="A17" s="323">
        <v>3132</v>
      </c>
      <c r="B17" s="347" t="s">
        <v>176</v>
      </c>
      <c r="C17" s="348">
        <v>49609</v>
      </c>
      <c r="D17" s="348">
        <v>49094.86</v>
      </c>
      <c r="E17" s="348"/>
      <c r="F17" s="213"/>
      <c r="G17" s="222"/>
    </row>
    <row r="18" spans="1:7" s="207" customFormat="1" ht="14.25" customHeight="1" x14ac:dyDescent="0.25">
      <c r="A18" s="342">
        <v>32</v>
      </c>
      <c r="B18" s="343" t="s">
        <v>6</v>
      </c>
      <c r="C18" s="349">
        <f>SUM(C19,C24,C29,C39)</f>
        <v>83990</v>
      </c>
      <c r="D18" s="349">
        <f>SUM(D19,D24,D29,D39)</f>
        <v>79537.680000000008</v>
      </c>
      <c r="E18" s="349">
        <f>SUM(D18/C18*100)</f>
        <v>94.698987974758907</v>
      </c>
      <c r="F18" s="213"/>
      <c r="G18" s="213"/>
    </row>
    <row r="19" spans="1:7" s="217" customFormat="1" ht="14.25" customHeight="1" x14ac:dyDescent="0.25">
      <c r="A19" s="322">
        <v>321</v>
      </c>
      <c r="B19" s="345" t="s">
        <v>102</v>
      </c>
      <c r="C19" s="341">
        <f>SUM(C20:C23)</f>
        <v>10675</v>
      </c>
      <c r="D19" s="341">
        <f>SUM(D20:D23)</f>
        <v>9387.43</v>
      </c>
      <c r="E19" s="341"/>
      <c r="F19" s="213"/>
      <c r="G19" s="218"/>
    </row>
    <row r="20" spans="1:7" x14ac:dyDescent="0.25">
      <c r="A20" s="323" t="s">
        <v>177</v>
      </c>
      <c r="B20" s="347" t="s">
        <v>178</v>
      </c>
      <c r="C20" s="348">
        <v>3150</v>
      </c>
      <c r="D20" s="348">
        <v>3098.81</v>
      </c>
      <c r="E20" s="348"/>
      <c r="F20" s="213"/>
      <c r="G20" s="222"/>
    </row>
    <row r="21" spans="1:7" x14ac:dyDescent="0.25">
      <c r="A21" s="323" t="s">
        <v>179</v>
      </c>
      <c r="B21" s="347" t="s">
        <v>110</v>
      </c>
      <c r="C21" s="348">
        <v>5675</v>
      </c>
      <c r="D21" s="348">
        <v>5362.58</v>
      </c>
      <c r="E21" s="348"/>
      <c r="F21" s="213"/>
      <c r="G21" s="222"/>
    </row>
    <row r="22" spans="1:7" x14ac:dyDescent="0.25">
      <c r="A22" s="323">
        <v>3213</v>
      </c>
      <c r="B22" s="347" t="s">
        <v>111</v>
      </c>
      <c r="C22" s="348">
        <v>1550</v>
      </c>
      <c r="D22" s="348">
        <v>926.04</v>
      </c>
      <c r="E22" s="348"/>
      <c r="F22" s="213"/>
      <c r="G22" s="222"/>
    </row>
    <row r="23" spans="1:7" x14ac:dyDescent="0.25">
      <c r="A23" s="323">
        <v>3214</v>
      </c>
      <c r="B23" s="347" t="s">
        <v>289</v>
      </c>
      <c r="C23" s="348">
        <v>300</v>
      </c>
      <c r="D23" s="348">
        <v>0</v>
      </c>
      <c r="E23" s="348"/>
      <c r="F23" s="213"/>
      <c r="G23" s="222"/>
    </row>
    <row r="24" spans="1:7" s="217" customFormat="1" ht="15.75" customHeight="1" x14ac:dyDescent="0.25">
      <c r="A24" s="352">
        <v>322</v>
      </c>
      <c r="B24" s="340" t="s">
        <v>103</v>
      </c>
      <c r="C24" s="307">
        <f>SUM(C25:C28)</f>
        <v>24853</v>
      </c>
      <c r="D24" s="307">
        <f>SUM(D25:D28)</f>
        <v>22166.25</v>
      </c>
      <c r="E24" s="307"/>
      <c r="F24" s="213"/>
      <c r="G24" s="218"/>
    </row>
    <row r="25" spans="1:7" ht="15.75" customHeight="1" x14ac:dyDescent="0.25">
      <c r="A25" s="382">
        <v>3221</v>
      </c>
      <c r="B25" s="354" t="s">
        <v>120</v>
      </c>
      <c r="C25" s="324">
        <v>3500</v>
      </c>
      <c r="D25" s="348">
        <v>7474.16</v>
      </c>
      <c r="E25" s="324"/>
      <c r="F25" s="213"/>
    </row>
    <row r="26" spans="1:7" ht="15.75" customHeight="1" x14ac:dyDescent="0.25">
      <c r="A26" s="382">
        <v>3223</v>
      </c>
      <c r="B26" s="354" t="s">
        <v>182</v>
      </c>
      <c r="C26" s="324">
        <v>20553</v>
      </c>
      <c r="D26" s="348">
        <v>14100.87</v>
      </c>
      <c r="E26" s="324"/>
      <c r="F26" s="213"/>
    </row>
    <row r="27" spans="1:7" ht="15.75" customHeight="1" x14ac:dyDescent="0.25">
      <c r="A27" s="382">
        <v>3224</v>
      </c>
      <c r="B27" s="354" t="s">
        <v>184</v>
      </c>
      <c r="C27" s="324">
        <v>300</v>
      </c>
      <c r="D27" s="348">
        <v>591.22</v>
      </c>
      <c r="E27" s="324"/>
      <c r="F27" s="213"/>
    </row>
    <row r="28" spans="1:7" ht="15.75" customHeight="1" x14ac:dyDescent="0.25">
      <c r="A28" s="353">
        <v>3225</v>
      </c>
      <c r="B28" s="354" t="s">
        <v>112</v>
      </c>
      <c r="C28" s="324">
        <v>500</v>
      </c>
      <c r="D28" s="348">
        <v>0</v>
      </c>
      <c r="E28" s="324"/>
      <c r="F28" s="213"/>
    </row>
    <row r="29" spans="1:7" s="217" customFormat="1" ht="15.75" customHeight="1" x14ac:dyDescent="0.25">
      <c r="A29" s="322">
        <v>323</v>
      </c>
      <c r="B29" s="345" t="s">
        <v>89</v>
      </c>
      <c r="C29" s="341">
        <f>SUM(C30:C38)</f>
        <v>47149</v>
      </c>
      <c r="D29" s="341">
        <f>SUM(D30:D38)</f>
        <v>46760.330000000009</v>
      </c>
      <c r="E29" s="341"/>
      <c r="F29" s="213"/>
      <c r="G29" s="218"/>
    </row>
    <row r="30" spans="1:7" x14ac:dyDescent="0.25">
      <c r="A30" s="381">
        <v>3231</v>
      </c>
      <c r="B30" s="347" t="s">
        <v>187</v>
      </c>
      <c r="C30" s="348">
        <v>2890</v>
      </c>
      <c r="D30" s="348">
        <v>2539.2800000000002</v>
      </c>
      <c r="E30" s="348"/>
      <c r="F30" s="213"/>
      <c r="G30" s="222"/>
    </row>
    <row r="31" spans="1:7" x14ac:dyDescent="0.25">
      <c r="A31" s="381">
        <v>3232</v>
      </c>
      <c r="B31" s="347" t="s">
        <v>189</v>
      </c>
      <c r="C31" s="348">
        <v>8200</v>
      </c>
      <c r="D31" s="348">
        <v>8175.01</v>
      </c>
      <c r="E31" s="348"/>
      <c r="F31" s="213"/>
      <c r="G31" s="222"/>
    </row>
    <row r="32" spans="1:7" x14ac:dyDescent="0.25">
      <c r="A32" s="323">
        <v>3233</v>
      </c>
      <c r="B32" s="347" t="s">
        <v>265</v>
      </c>
      <c r="C32" s="348">
        <v>400</v>
      </c>
      <c r="D32" s="348">
        <v>790</v>
      </c>
      <c r="E32" s="348"/>
      <c r="F32" s="213"/>
      <c r="G32" s="222"/>
    </row>
    <row r="33" spans="1:7" x14ac:dyDescent="0.25">
      <c r="A33" s="323">
        <v>3234</v>
      </c>
      <c r="B33" s="347" t="s">
        <v>190</v>
      </c>
      <c r="C33" s="348">
        <v>1400</v>
      </c>
      <c r="D33" s="348">
        <v>806.44</v>
      </c>
      <c r="E33" s="348"/>
      <c r="F33" s="213"/>
      <c r="G33" s="222"/>
    </row>
    <row r="34" spans="1:7" x14ac:dyDescent="0.25">
      <c r="A34" s="323">
        <v>3235</v>
      </c>
      <c r="B34" s="347" t="s">
        <v>126</v>
      </c>
      <c r="C34" s="348">
        <v>15569</v>
      </c>
      <c r="D34" s="348">
        <v>15618.38</v>
      </c>
      <c r="E34" s="348"/>
      <c r="F34" s="213"/>
      <c r="G34" s="222"/>
    </row>
    <row r="35" spans="1:7" x14ac:dyDescent="0.25">
      <c r="A35" s="323">
        <v>3236</v>
      </c>
      <c r="B35" s="347" t="s">
        <v>290</v>
      </c>
      <c r="C35" s="348">
        <v>1440</v>
      </c>
      <c r="D35" s="348">
        <v>730</v>
      </c>
      <c r="E35" s="348"/>
      <c r="F35" s="213"/>
      <c r="G35" s="222"/>
    </row>
    <row r="36" spans="1:7" x14ac:dyDescent="0.25">
      <c r="A36" s="323">
        <v>3237</v>
      </c>
      <c r="B36" s="347" t="s">
        <v>123</v>
      </c>
      <c r="C36" s="348">
        <v>1500</v>
      </c>
      <c r="D36" s="348">
        <v>4710.7700000000004</v>
      </c>
      <c r="E36" s="348"/>
      <c r="F36" s="213"/>
      <c r="G36" s="222"/>
    </row>
    <row r="37" spans="1:7" x14ac:dyDescent="0.25">
      <c r="A37" s="381">
        <v>3238</v>
      </c>
      <c r="B37" s="347" t="s">
        <v>192</v>
      </c>
      <c r="C37" s="348">
        <v>8450</v>
      </c>
      <c r="D37" s="348">
        <v>7978.41</v>
      </c>
      <c r="E37" s="348"/>
      <c r="F37" s="213"/>
      <c r="G37" s="222"/>
    </row>
    <row r="38" spans="1:7" x14ac:dyDescent="0.25">
      <c r="A38" s="381">
        <v>3239</v>
      </c>
      <c r="B38" s="347" t="s">
        <v>124</v>
      </c>
      <c r="C38" s="348">
        <v>7300</v>
      </c>
      <c r="D38" s="348">
        <v>5412.04</v>
      </c>
      <c r="E38" s="348"/>
      <c r="F38" s="213"/>
      <c r="G38" s="222"/>
    </row>
    <row r="39" spans="1:7" s="217" customFormat="1" ht="15.75" customHeight="1" x14ac:dyDescent="0.25">
      <c r="A39" s="322">
        <v>329</v>
      </c>
      <c r="B39" s="345" t="s">
        <v>104</v>
      </c>
      <c r="C39" s="341">
        <f>SUM(C40:C43)</f>
        <v>1313</v>
      </c>
      <c r="D39" s="341">
        <f>SUM(D40:D43)</f>
        <v>1223.6699999999998</v>
      </c>
      <c r="E39" s="341"/>
      <c r="F39" s="213"/>
      <c r="G39" s="218"/>
    </row>
    <row r="40" spans="1:7" x14ac:dyDescent="0.25">
      <c r="A40" s="323">
        <v>3292</v>
      </c>
      <c r="B40" s="347" t="s">
        <v>261</v>
      </c>
      <c r="C40" s="348">
        <v>753</v>
      </c>
      <c r="D40" s="348">
        <v>762.01</v>
      </c>
      <c r="E40" s="348"/>
      <c r="F40" s="213"/>
      <c r="G40" s="222"/>
    </row>
    <row r="41" spans="1:7" x14ac:dyDescent="0.25">
      <c r="A41" s="381">
        <v>3293</v>
      </c>
      <c r="B41" s="347" t="s">
        <v>195</v>
      </c>
      <c r="C41" s="348">
        <v>300</v>
      </c>
      <c r="D41" s="348">
        <v>297.63</v>
      </c>
      <c r="E41" s="348"/>
      <c r="F41" s="213"/>
      <c r="G41" s="222"/>
    </row>
    <row r="42" spans="1:7" x14ac:dyDescent="0.25">
      <c r="A42" s="323">
        <v>3294</v>
      </c>
      <c r="B42" s="347" t="s">
        <v>266</v>
      </c>
      <c r="C42" s="348">
        <v>60</v>
      </c>
      <c r="D42" s="348">
        <v>60</v>
      </c>
      <c r="E42" s="348"/>
      <c r="F42" s="213"/>
      <c r="G42" s="222"/>
    </row>
    <row r="43" spans="1:7" x14ac:dyDescent="0.25">
      <c r="A43" s="381">
        <v>3299</v>
      </c>
      <c r="B43" s="347" t="s">
        <v>104</v>
      </c>
      <c r="C43" s="348">
        <v>200</v>
      </c>
      <c r="D43" s="348">
        <v>104.03</v>
      </c>
      <c r="E43" s="348"/>
      <c r="F43" s="213"/>
      <c r="G43" s="222"/>
    </row>
    <row r="44" spans="1:7" s="207" customFormat="1" ht="15.75" customHeight="1" x14ac:dyDescent="0.25">
      <c r="A44" s="342">
        <v>34</v>
      </c>
      <c r="B44" s="343" t="s">
        <v>9</v>
      </c>
      <c r="C44" s="349">
        <f>SUM(C45)</f>
        <v>750</v>
      </c>
      <c r="D44" s="349">
        <f>SUM(D45)</f>
        <v>634.41</v>
      </c>
      <c r="E44" s="349">
        <f>(D44/C44)*100</f>
        <v>84.587999999999994</v>
      </c>
      <c r="F44" s="213"/>
      <c r="G44" s="213"/>
    </row>
    <row r="45" spans="1:7" s="217" customFormat="1" ht="15.75" customHeight="1" x14ac:dyDescent="0.25">
      <c r="A45" s="322">
        <v>343</v>
      </c>
      <c r="B45" s="345" t="s">
        <v>106</v>
      </c>
      <c r="C45" s="341">
        <f>SUM(C46)</f>
        <v>750</v>
      </c>
      <c r="D45" s="341">
        <f>SUM(D46)</f>
        <v>634.41</v>
      </c>
      <c r="E45" s="341">
        <v>0</v>
      </c>
      <c r="F45" s="213"/>
      <c r="G45" s="218"/>
    </row>
    <row r="46" spans="1:7" x14ac:dyDescent="0.25">
      <c r="A46" s="381">
        <v>3431</v>
      </c>
      <c r="B46" s="347" t="s">
        <v>197</v>
      </c>
      <c r="C46" s="348">
        <v>750</v>
      </c>
      <c r="D46" s="348">
        <v>634.41</v>
      </c>
      <c r="E46" s="348">
        <v>0</v>
      </c>
      <c r="F46" s="213"/>
      <c r="G46" s="222"/>
    </row>
    <row r="47" spans="1:7" s="217" customFormat="1" x14ac:dyDescent="0.25">
      <c r="A47" s="337">
        <v>31</v>
      </c>
      <c r="B47" s="337" t="s">
        <v>42</v>
      </c>
      <c r="C47" s="338">
        <f>SUM(C48)</f>
        <v>7096.7699999999995</v>
      </c>
      <c r="D47" s="338">
        <f t="shared" ref="D47" si="0">SUM(D48)</f>
        <v>5498.17</v>
      </c>
      <c r="E47" s="338">
        <f>SUM(E48)</f>
        <v>77.474259416607836</v>
      </c>
      <c r="F47" s="213"/>
      <c r="G47" s="218"/>
    </row>
    <row r="48" spans="1:7" s="217" customFormat="1" x14ac:dyDescent="0.25">
      <c r="A48" s="339">
        <v>3</v>
      </c>
      <c r="B48" s="340" t="s">
        <v>33</v>
      </c>
      <c r="C48" s="307">
        <f>SUM(C49,C54,C68)</f>
        <v>7096.7699999999995</v>
      </c>
      <c r="D48" s="307">
        <f>SUM(D49,D54,D68)</f>
        <v>5498.17</v>
      </c>
      <c r="E48" s="307">
        <f>SUM(D48/C48*100)</f>
        <v>77.474259416607836</v>
      </c>
      <c r="F48" s="213"/>
      <c r="G48" s="218"/>
    </row>
    <row r="49" spans="1:7" s="207" customFormat="1" ht="15.75" customHeight="1" x14ac:dyDescent="0.25">
      <c r="A49" s="350">
        <v>31</v>
      </c>
      <c r="B49" s="334" t="s">
        <v>5</v>
      </c>
      <c r="C49" s="351">
        <f>SUM(C51,C52)</f>
        <v>2011.03</v>
      </c>
      <c r="D49" s="351">
        <f>SUM(D51,D52)</f>
        <v>3715.9700000000003</v>
      </c>
      <c r="E49" s="307">
        <f>SUM(D49/C49*100)</f>
        <v>184.77944138078499</v>
      </c>
      <c r="F49" s="213"/>
      <c r="G49" s="213"/>
    </row>
    <row r="50" spans="1:7" s="217" customFormat="1" ht="14.25" customHeight="1" x14ac:dyDescent="0.25">
      <c r="A50" s="322">
        <v>311</v>
      </c>
      <c r="B50" s="345" t="s">
        <v>95</v>
      </c>
      <c r="C50" s="346">
        <f>SUM(C51:C51)</f>
        <v>0</v>
      </c>
      <c r="D50" s="346">
        <f>SUM(D51:D51)</f>
        <v>1704.94</v>
      </c>
      <c r="E50" s="346"/>
      <c r="F50" s="213"/>
      <c r="G50" s="218"/>
    </row>
    <row r="51" spans="1:7" ht="14.25" customHeight="1" x14ac:dyDescent="0.25">
      <c r="A51" s="323">
        <v>3111</v>
      </c>
      <c r="B51" s="347" t="s">
        <v>175</v>
      </c>
      <c r="C51" s="348">
        <v>0</v>
      </c>
      <c r="D51" s="348">
        <v>1704.94</v>
      </c>
      <c r="E51" s="348"/>
      <c r="F51" s="213"/>
      <c r="G51" s="222"/>
    </row>
    <row r="52" spans="1:7" s="217" customFormat="1" ht="14.25" customHeight="1" x14ac:dyDescent="0.25">
      <c r="A52" s="322">
        <v>312</v>
      </c>
      <c r="B52" s="345" t="s">
        <v>260</v>
      </c>
      <c r="C52" s="346">
        <f>SUM(C53)</f>
        <v>2011.03</v>
      </c>
      <c r="D52" s="346">
        <f>SUM(D53)</f>
        <v>2011.03</v>
      </c>
      <c r="E52" s="346"/>
      <c r="F52" s="213"/>
      <c r="G52" s="218"/>
    </row>
    <row r="53" spans="1:7" ht="14.25" customHeight="1" x14ac:dyDescent="0.25">
      <c r="A53" s="323">
        <v>3121</v>
      </c>
      <c r="B53" s="347" t="s">
        <v>260</v>
      </c>
      <c r="C53" s="348">
        <v>2011.03</v>
      </c>
      <c r="D53" s="348">
        <v>2011.03</v>
      </c>
      <c r="E53" s="348"/>
      <c r="F53" s="213"/>
      <c r="G53" s="222"/>
    </row>
    <row r="54" spans="1:7" s="207" customFormat="1" ht="14.25" customHeight="1" x14ac:dyDescent="0.25">
      <c r="A54" s="342">
        <v>32</v>
      </c>
      <c r="B54" s="343" t="s">
        <v>6</v>
      </c>
      <c r="C54" s="349">
        <f>SUM(C55,C57,C59,C64,C66)</f>
        <v>5085.74</v>
      </c>
      <c r="D54" s="349">
        <f>SUM(D55,D57,D59,D64,D66)</f>
        <v>1782.2</v>
      </c>
      <c r="E54" s="307">
        <f>SUM(D54/C54*100)</f>
        <v>35.043081242847649</v>
      </c>
      <c r="F54" s="213"/>
      <c r="G54" s="213"/>
    </row>
    <row r="55" spans="1:7" s="217" customFormat="1" ht="14.25" customHeight="1" x14ac:dyDescent="0.25">
      <c r="A55" s="322">
        <v>321</v>
      </c>
      <c r="B55" s="345" t="s">
        <v>102</v>
      </c>
      <c r="C55" s="341">
        <f>SUM(C56)</f>
        <v>201.3</v>
      </c>
      <c r="D55" s="341">
        <f>SUM(D56)</f>
        <v>201.3</v>
      </c>
      <c r="E55" s="341"/>
      <c r="F55" s="213"/>
      <c r="G55" s="218"/>
    </row>
    <row r="56" spans="1:7" x14ac:dyDescent="0.25">
      <c r="A56" s="381">
        <v>3211</v>
      </c>
      <c r="B56" s="347" t="s">
        <v>178</v>
      </c>
      <c r="C56" s="348">
        <v>201.3</v>
      </c>
      <c r="D56" s="348">
        <v>201.3</v>
      </c>
      <c r="E56" s="348"/>
      <c r="F56" s="213"/>
      <c r="G56" s="222"/>
    </row>
    <row r="57" spans="1:7" s="217" customFormat="1" ht="15.75" customHeight="1" x14ac:dyDescent="0.25">
      <c r="A57" s="352">
        <v>322</v>
      </c>
      <c r="B57" s="340" t="s">
        <v>103</v>
      </c>
      <c r="C57" s="307">
        <f>SUM(C58)</f>
        <v>242.61</v>
      </c>
      <c r="D57" s="307">
        <f>SUM(D58)</f>
        <v>303.88</v>
      </c>
      <c r="E57" s="307"/>
      <c r="F57" s="213"/>
      <c r="G57" s="218"/>
    </row>
    <row r="58" spans="1:7" ht="14.25" customHeight="1" x14ac:dyDescent="0.25">
      <c r="A58" s="323">
        <v>3221</v>
      </c>
      <c r="B58" s="347" t="s">
        <v>120</v>
      </c>
      <c r="C58" s="348">
        <v>242.61</v>
      </c>
      <c r="D58" s="348">
        <v>303.88</v>
      </c>
      <c r="E58" s="348"/>
      <c r="F58" s="213"/>
      <c r="G58" s="222"/>
    </row>
    <row r="59" spans="1:7" s="217" customFormat="1" ht="15.75" customHeight="1" x14ac:dyDescent="0.25">
      <c r="A59" s="322">
        <v>323</v>
      </c>
      <c r="B59" s="345" t="s">
        <v>89</v>
      </c>
      <c r="C59" s="341">
        <f>SUM(C60:C63)</f>
        <v>4641.83</v>
      </c>
      <c r="D59" s="341">
        <f>SUM(D60:D63)</f>
        <v>1233.77</v>
      </c>
      <c r="E59" s="341"/>
      <c r="F59" s="213"/>
      <c r="G59" s="218"/>
    </row>
    <row r="60" spans="1:7" ht="14.25" customHeight="1" x14ac:dyDescent="0.25">
      <c r="A60" s="323">
        <v>3231</v>
      </c>
      <c r="B60" s="347" t="s">
        <v>187</v>
      </c>
      <c r="C60" s="348">
        <v>41</v>
      </c>
      <c r="D60" s="348">
        <v>41</v>
      </c>
      <c r="E60" s="348"/>
      <c r="F60" s="213"/>
      <c r="G60" s="222"/>
    </row>
    <row r="61" spans="1:7" ht="14.25" customHeight="1" x14ac:dyDescent="0.25">
      <c r="A61" s="323">
        <v>3232</v>
      </c>
      <c r="B61" s="347" t="s">
        <v>189</v>
      </c>
      <c r="C61" s="348">
        <v>2000</v>
      </c>
      <c r="D61" s="348">
        <v>0</v>
      </c>
      <c r="E61" s="348"/>
      <c r="F61" s="213"/>
      <c r="G61" s="222"/>
    </row>
    <row r="62" spans="1:7" ht="14.25" customHeight="1" x14ac:dyDescent="0.25">
      <c r="A62" s="323">
        <v>3237</v>
      </c>
      <c r="B62" s="347" t="s">
        <v>123</v>
      </c>
      <c r="C62" s="348">
        <v>600.83000000000004</v>
      </c>
      <c r="D62" s="348">
        <v>1102.77</v>
      </c>
      <c r="E62" s="348"/>
      <c r="F62" s="213"/>
      <c r="G62" s="222"/>
    </row>
    <row r="63" spans="1:7" ht="14.25" customHeight="1" x14ac:dyDescent="0.25">
      <c r="A63" s="323">
        <v>3239</v>
      </c>
      <c r="B63" s="347" t="s">
        <v>124</v>
      </c>
      <c r="C63" s="348">
        <v>2000</v>
      </c>
      <c r="D63" s="348">
        <v>90</v>
      </c>
      <c r="E63" s="348"/>
      <c r="F63" s="213"/>
      <c r="G63" s="222"/>
    </row>
    <row r="64" spans="1:7" s="217" customFormat="1" ht="14.25" customHeight="1" x14ac:dyDescent="0.25">
      <c r="A64" s="322">
        <v>324</v>
      </c>
      <c r="B64" s="345" t="s">
        <v>284</v>
      </c>
      <c r="C64" s="346">
        <f>SUM(C65)</f>
        <v>0</v>
      </c>
      <c r="D64" s="346">
        <f>SUM(D65)</f>
        <v>0</v>
      </c>
      <c r="E64" s="346">
        <f>SUM(E65)</f>
        <v>0</v>
      </c>
      <c r="F64" s="213"/>
      <c r="G64" s="218"/>
    </row>
    <row r="65" spans="1:7" ht="14.25" customHeight="1" x14ac:dyDescent="0.25">
      <c r="A65" s="323">
        <v>3241</v>
      </c>
      <c r="B65" s="347" t="s">
        <v>284</v>
      </c>
      <c r="C65" s="348"/>
      <c r="D65" s="348">
        <v>0</v>
      </c>
      <c r="E65" s="348"/>
      <c r="F65" s="213"/>
      <c r="G65" s="222"/>
    </row>
    <row r="66" spans="1:7" s="217" customFormat="1" ht="15.75" customHeight="1" x14ac:dyDescent="0.25">
      <c r="A66" s="322">
        <v>329</v>
      </c>
      <c r="B66" s="345" t="s">
        <v>104</v>
      </c>
      <c r="C66" s="341">
        <f>SUM(C67:C67)</f>
        <v>0</v>
      </c>
      <c r="D66" s="341">
        <f>SUM(D67:D67)</f>
        <v>43.25</v>
      </c>
      <c r="E66" s="341"/>
      <c r="F66" s="213"/>
      <c r="G66" s="218"/>
    </row>
    <row r="67" spans="1:7" ht="14.25" customHeight="1" x14ac:dyDescent="0.25">
      <c r="A67" s="323">
        <v>3293</v>
      </c>
      <c r="B67" s="347" t="s">
        <v>195</v>
      </c>
      <c r="C67" s="348"/>
      <c r="D67" s="348">
        <v>43.25</v>
      </c>
      <c r="E67" s="348"/>
      <c r="F67" s="213"/>
      <c r="G67" s="222"/>
    </row>
    <row r="68" spans="1:7" s="207" customFormat="1" ht="15.75" customHeight="1" x14ac:dyDescent="0.25">
      <c r="A68" s="342">
        <v>34</v>
      </c>
      <c r="B68" s="343" t="s">
        <v>9</v>
      </c>
      <c r="C68" s="349">
        <f>SUM(C69)</f>
        <v>0</v>
      </c>
      <c r="D68" s="349">
        <f t="shared" ref="D68:E68" si="1">SUM(D69)</f>
        <v>0</v>
      </c>
      <c r="E68" s="349">
        <f t="shared" si="1"/>
        <v>0</v>
      </c>
      <c r="F68" s="213"/>
      <c r="G68" s="213"/>
    </row>
    <row r="69" spans="1:7" s="217" customFormat="1" ht="14.25" customHeight="1" x14ac:dyDescent="0.25">
      <c r="A69" s="322">
        <v>343</v>
      </c>
      <c r="B69" s="345" t="s">
        <v>106</v>
      </c>
      <c r="C69" s="346">
        <f>SUM(C70)</f>
        <v>0</v>
      </c>
      <c r="D69" s="346">
        <f>SUM(D70)</f>
        <v>0</v>
      </c>
      <c r="E69" s="346">
        <f>SUM(E70)</f>
        <v>0</v>
      </c>
      <c r="F69" s="213"/>
      <c r="G69" s="218"/>
    </row>
    <row r="70" spans="1:7" ht="14.25" customHeight="1" x14ac:dyDescent="0.25">
      <c r="A70" s="323">
        <v>3432</v>
      </c>
      <c r="B70" s="347" t="s">
        <v>282</v>
      </c>
      <c r="C70" s="348">
        <v>0</v>
      </c>
      <c r="D70" s="348">
        <v>0</v>
      </c>
      <c r="E70" s="348"/>
      <c r="F70" s="213"/>
      <c r="G70" s="222"/>
    </row>
    <row r="71" spans="1:7" s="217" customFormat="1" x14ac:dyDescent="0.25">
      <c r="A71" s="337">
        <v>43</v>
      </c>
      <c r="B71" s="337" t="s">
        <v>262</v>
      </c>
      <c r="C71" s="307">
        <f>SUM(C72,C87)</f>
        <v>9925.66</v>
      </c>
      <c r="D71" s="307">
        <f>SUM(D72,D87)</f>
        <v>4348.75</v>
      </c>
      <c r="E71" s="341">
        <f>(D71/C71)*100</f>
        <v>43.813207383690354</v>
      </c>
      <c r="F71" s="213"/>
      <c r="G71" s="218"/>
    </row>
    <row r="72" spans="1:7" s="217" customFormat="1" x14ac:dyDescent="0.25">
      <c r="A72" s="339">
        <v>3</v>
      </c>
      <c r="B72" s="340" t="s">
        <v>33</v>
      </c>
      <c r="C72" s="307">
        <f>SUM(C73,C76)</f>
        <v>9300</v>
      </c>
      <c r="D72" s="307">
        <f>SUM(D73,D76)</f>
        <v>3662.1</v>
      </c>
      <c r="E72" s="341">
        <f>(D72/C72)*100</f>
        <v>39.377419354838707</v>
      </c>
      <c r="F72" s="213"/>
      <c r="G72" s="218"/>
    </row>
    <row r="73" spans="1:7" s="217" customFormat="1" x14ac:dyDescent="0.25">
      <c r="A73" s="342">
        <v>31</v>
      </c>
      <c r="B73" s="343" t="s">
        <v>5</v>
      </c>
      <c r="C73" s="344">
        <f>SUM(C74)</f>
        <v>6500</v>
      </c>
      <c r="D73" s="344">
        <f>SUM(D74)</f>
        <v>2390.6</v>
      </c>
      <c r="E73" s="341">
        <f>(D73/C73)*100</f>
        <v>36.778461538461535</v>
      </c>
      <c r="F73" s="213"/>
      <c r="G73" s="218"/>
    </row>
    <row r="74" spans="1:7" s="217" customFormat="1" x14ac:dyDescent="0.25">
      <c r="A74" s="322">
        <v>311</v>
      </c>
      <c r="B74" s="345" t="s">
        <v>95</v>
      </c>
      <c r="C74" s="346">
        <f>SUM(C75:C75)</f>
        <v>6500</v>
      </c>
      <c r="D74" s="346">
        <f>SUM(D75:D75)</f>
        <v>2390.6</v>
      </c>
      <c r="E74" s="307"/>
      <c r="F74" s="213"/>
      <c r="G74" s="218"/>
    </row>
    <row r="75" spans="1:7" s="217" customFormat="1" x14ac:dyDescent="0.25">
      <c r="A75" s="323">
        <v>3111</v>
      </c>
      <c r="B75" s="347" t="s">
        <v>175</v>
      </c>
      <c r="C75" s="348">
        <v>6500</v>
      </c>
      <c r="D75" s="348">
        <v>2390.6</v>
      </c>
      <c r="E75" s="307"/>
      <c r="F75" s="213"/>
      <c r="G75" s="218"/>
    </row>
    <row r="76" spans="1:7" s="207" customFormat="1" ht="15.75" customHeight="1" x14ac:dyDescent="0.25">
      <c r="A76" s="342">
        <v>32</v>
      </c>
      <c r="B76" s="343" t="s">
        <v>6</v>
      </c>
      <c r="C76" s="349">
        <f>SUM(C77,C82)</f>
        <v>2800</v>
      </c>
      <c r="D76" s="349">
        <f>SUM(D77,D80,D82)</f>
        <v>1271.5</v>
      </c>
      <c r="E76" s="341">
        <f>(D76/C76)*100</f>
        <v>45.410714285714285</v>
      </c>
      <c r="F76" s="213"/>
      <c r="G76" s="213"/>
    </row>
    <row r="77" spans="1:7" s="217" customFormat="1" ht="15.75" customHeight="1" x14ac:dyDescent="0.25">
      <c r="A77" s="322">
        <v>321</v>
      </c>
      <c r="B77" s="345" t="s">
        <v>102</v>
      </c>
      <c r="C77" s="341">
        <f>SUM(C78:C79)</f>
        <v>100</v>
      </c>
      <c r="D77" s="341">
        <f>SUM(D78:D79)</f>
        <v>119.4</v>
      </c>
      <c r="E77" s="341"/>
      <c r="F77" s="213"/>
      <c r="G77" s="218"/>
    </row>
    <row r="78" spans="1:7" s="393" customFormat="1" ht="15.75" customHeight="1" x14ac:dyDescent="0.25">
      <c r="A78" s="388" t="s">
        <v>177</v>
      </c>
      <c r="B78" s="389" t="s">
        <v>178</v>
      </c>
      <c r="C78" s="390">
        <v>100</v>
      </c>
      <c r="D78" s="390">
        <v>119.4</v>
      </c>
      <c r="E78" s="390"/>
      <c r="F78" s="391"/>
      <c r="G78" s="392"/>
    </row>
    <row r="79" spans="1:7" x14ac:dyDescent="0.25">
      <c r="A79" s="323">
        <v>3214</v>
      </c>
      <c r="B79" s="347" t="s">
        <v>263</v>
      </c>
      <c r="C79" s="348">
        <v>0</v>
      </c>
      <c r="D79" s="348">
        <v>0</v>
      </c>
      <c r="E79" s="348"/>
      <c r="F79" s="213"/>
      <c r="G79" s="222"/>
    </row>
    <row r="80" spans="1:7" s="217" customFormat="1" ht="15.75" customHeight="1" x14ac:dyDescent="0.25">
      <c r="A80" s="322">
        <v>322</v>
      </c>
      <c r="B80" s="345" t="s">
        <v>103</v>
      </c>
      <c r="C80" s="341">
        <f>SUM(C81:C81)</f>
        <v>0</v>
      </c>
      <c r="D80" s="341">
        <f>SUM(D81:D81)</f>
        <v>62.95</v>
      </c>
      <c r="E80" s="341"/>
      <c r="F80" s="213"/>
      <c r="G80" s="218"/>
    </row>
    <row r="81" spans="1:9" s="393" customFormat="1" ht="15.75" customHeight="1" x14ac:dyDescent="0.25">
      <c r="A81" s="388">
        <v>3221</v>
      </c>
      <c r="B81" s="389" t="s">
        <v>120</v>
      </c>
      <c r="C81" s="390"/>
      <c r="D81" s="390">
        <v>62.95</v>
      </c>
      <c r="E81" s="390"/>
      <c r="F81" s="391"/>
      <c r="G81" s="392"/>
    </row>
    <row r="82" spans="1:9" s="217" customFormat="1" ht="15.75" customHeight="1" x14ac:dyDescent="0.25">
      <c r="A82" s="322">
        <v>323</v>
      </c>
      <c r="B82" s="345" t="s">
        <v>89</v>
      </c>
      <c r="C82" s="341">
        <f>SUM(C83:C86)</f>
        <v>2700</v>
      </c>
      <c r="D82" s="341">
        <f>SUM(D83:D86)</f>
        <v>1089.1500000000001</v>
      </c>
      <c r="E82" s="341"/>
      <c r="F82" s="213"/>
      <c r="G82" s="218"/>
    </row>
    <row r="83" spans="1:9" x14ac:dyDescent="0.25">
      <c r="A83" s="323" t="s">
        <v>188</v>
      </c>
      <c r="B83" s="347" t="s">
        <v>189</v>
      </c>
      <c r="C83" s="348">
        <v>1000</v>
      </c>
      <c r="D83" s="348">
        <v>0</v>
      </c>
      <c r="E83" s="348"/>
      <c r="F83" s="213"/>
      <c r="G83" s="222"/>
    </row>
    <row r="84" spans="1:9" x14ac:dyDescent="0.25">
      <c r="A84" s="323">
        <v>3236</v>
      </c>
      <c r="B84" s="347" t="s">
        <v>122</v>
      </c>
      <c r="C84" s="348">
        <v>0</v>
      </c>
      <c r="D84" s="348">
        <v>0</v>
      </c>
      <c r="E84" s="348"/>
      <c r="F84" s="213"/>
      <c r="G84" s="222"/>
    </row>
    <row r="85" spans="1:9" x14ac:dyDescent="0.25">
      <c r="A85" s="323">
        <v>3237</v>
      </c>
      <c r="B85" s="347" t="s">
        <v>123</v>
      </c>
      <c r="C85" s="348">
        <v>0</v>
      </c>
      <c r="D85" s="348">
        <v>927.76</v>
      </c>
      <c r="E85" s="348"/>
      <c r="F85" s="213"/>
      <c r="G85" s="222"/>
    </row>
    <row r="86" spans="1:9" x14ac:dyDescent="0.25">
      <c r="A86" s="323" t="s">
        <v>193</v>
      </c>
      <c r="B86" s="347" t="s">
        <v>124</v>
      </c>
      <c r="C86" s="348">
        <v>1700</v>
      </c>
      <c r="D86" s="348">
        <v>161.38999999999999</v>
      </c>
      <c r="E86" s="348"/>
      <c r="F86" s="213"/>
      <c r="G86" s="222"/>
    </row>
    <row r="87" spans="1:9" s="219" customFormat="1" x14ac:dyDescent="0.2">
      <c r="A87" s="307">
        <v>4</v>
      </c>
      <c r="B87" s="337" t="s">
        <v>10</v>
      </c>
      <c r="C87" s="338">
        <f t="shared" ref="C87:D87" si="2">SUM(C88)</f>
        <v>625.66</v>
      </c>
      <c r="D87" s="338">
        <f t="shared" si="2"/>
        <v>686.65</v>
      </c>
      <c r="E87" s="341">
        <f>(D87/C87)*100</f>
        <v>109.74810600006393</v>
      </c>
    </row>
    <row r="88" spans="1:9" s="220" customFormat="1" x14ac:dyDescent="0.2">
      <c r="A88" s="350">
        <v>42</v>
      </c>
      <c r="B88" s="334" t="s">
        <v>11</v>
      </c>
      <c r="C88" s="351">
        <f>SUM(C89)</f>
        <v>625.66</v>
      </c>
      <c r="D88" s="351">
        <f>SUM(D89)</f>
        <v>686.65</v>
      </c>
      <c r="E88" s="341">
        <f>(D88/C88)*100</f>
        <v>109.74810600006393</v>
      </c>
      <c r="F88" s="219"/>
      <c r="G88" s="219"/>
    </row>
    <row r="89" spans="1:9" s="217" customFormat="1" x14ac:dyDescent="0.25">
      <c r="A89" s="352">
        <v>422</v>
      </c>
      <c r="B89" s="340" t="s">
        <v>92</v>
      </c>
      <c r="C89" s="307">
        <f>SUM(C90:C91)</f>
        <v>625.66</v>
      </c>
      <c r="D89" s="307">
        <f>SUM(D90:D91)</f>
        <v>686.65</v>
      </c>
      <c r="E89" s="359"/>
      <c r="F89" s="219"/>
      <c r="G89" s="219"/>
    </row>
    <row r="90" spans="1:9" x14ac:dyDescent="0.25">
      <c r="A90" s="353" t="s">
        <v>200</v>
      </c>
      <c r="B90" s="354" t="s">
        <v>201</v>
      </c>
      <c r="C90" s="324">
        <v>625.66</v>
      </c>
      <c r="D90" s="324">
        <v>686.65</v>
      </c>
      <c r="E90" s="359"/>
      <c r="F90" s="219"/>
      <c r="G90" s="219"/>
    </row>
    <row r="91" spans="1:9" x14ac:dyDescent="0.25">
      <c r="A91" s="323">
        <v>4223</v>
      </c>
      <c r="B91" s="347" t="s">
        <v>264</v>
      </c>
      <c r="C91" s="348">
        <v>0</v>
      </c>
      <c r="D91" s="348">
        <v>0</v>
      </c>
      <c r="E91" s="348"/>
      <c r="F91" s="213"/>
      <c r="G91" s="222"/>
    </row>
    <row r="92" spans="1:9" s="217" customFormat="1" x14ac:dyDescent="0.25">
      <c r="A92" s="355">
        <v>52</v>
      </c>
      <c r="B92" s="355" t="s">
        <v>21</v>
      </c>
      <c r="C92" s="341">
        <f t="shared" ref="C92:D92" si="3">SUM(C93)</f>
        <v>15417.53</v>
      </c>
      <c r="D92" s="341">
        <f t="shared" si="3"/>
        <v>15486.05</v>
      </c>
      <c r="E92" s="341">
        <f>(D92/C92)*100</f>
        <v>100.44442916602074</v>
      </c>
      <c r="F92" s="218"/>
      <c r="G92" s="218"/>
      <c r="H92" s="218"/>
      <c r="I92" s="218"/>
    </row>
    <row r="93" spans="1:9" s="216" customFormat="1" x14ac:dyDescent="0.2">
      <c r="A93" s="356">
        <v>3</v>
      </c>
      <c r="B93" s="345" t="s">
        <v>33</v>
      </c>
      <c r="C93" s="341">
        <f>SUM(C94,C101)</f>
        <v>15417.53</v>
      </c>
      <c r="D93" s="341">
        <f>SUM(D94,D101)</f>
        <v>15486.05</v>
      </c>
      <c r="E93" s="341">
        <f>(D93/C93)*100</f>
        <v>100.44442916602074</v>
      </c>
    </row>
    <row r="94" spans="1:9" s="207" customFormat="1" ht="15.75" customHeight="1" x14ac:dyDescent="0.25">
      <c r="A94" s="350">
        <v>31</v>
      </c>
      <c r="B94" s="334" t="s">
        <v>5</v>
      </c>
      <c r="C94" s="351">
        <f>SUM(C95,C97,C99)</f>
        <v>15408.37</v>
      </c>
      <c r="D94" s="351">
        <f>SUM(D95,D97,D99)</f>
        <v>15477.05</v>
      </c>
      <c r="E94" s="341">
        <f>(D94/C94)*100</f>
        <v>100.44573176786382</v>
      </c>
      <c r="F94" s="213"/>
      <c r="G94" s="213"/>
    </row>
    <row r="95" spans="1:9" s="217" customFormat="1" ht="15.75" customHeight="1" x14ac:dyDescent="0.25">
      <c r="A95" s="352">
        <v>311</v>
      </c>
      <c r="B95" s="340" t="s">
        <v>95</v>
      </c>
      <c r="C95" s="307">
        <f>SUM(C96)</f>
        <v>15408.37</v>
      </c>
      <c r="D95" s="307">
        <f>SUM(D96)</f>
        <v>15410.8</v>
      </c>
      <c r="E95" s="307"/>
      <c r="F95" s="213"/>
      <c r="G95" s="218"/>
    </row>
    <row r="96" spans="1:9" ht="15.75" customHeight="1" x14ac:dyDescent="0.25">
      <c r="A96" s="353">
        <v>3111</v>
      </c>
      <c r="B96" s="354" t="s">
        <v>175</v>
      </c>
      <c r="C96" s="324">
        <v>15408.37</v>
      </c>
      <c r="D96" s="324">
        <v>15410.8</v>
      </c>
      <c r="E96" s="324"/>
      <c r="F96" s="213"/>
      <c r="G96" s="222"/>
    </row>
    <row r="97" spans="1:7" s="217" customFormat="1" ht="15.75" customHeight="1" x14ac:dyDescent="0.25">
      <c r="A97" s="352">
        <v>312</v>
      </c>
      <c r="B97" s="340" t="s">
        <v>260</v>
      </c>
      <c r="C97" s="307">
        <f>SUM(C98)</f>
        <v>0</v>
      </c>
      <c r="D97" s="307">
        <f>SUM(D98)</f>
        <v>0</v>
      </c>
      <c r="E97" s="307"/>
      <c r="F97" s="213"/>
      <c r="G97" s="218"/>
    </row>
    <row r="98" spans="1:7" ht="15.75" customHeight="1" x14ac:dyDescent="0.25">
      <c r="A98" s="353">
        <v>3121</v>
      </c>
      <c r="B98" s="347" t="s">
        <v>260</v>
      </c>
      <c r="C98" s="324"/>
      <c r="D98" s="324">
        <v>0</v>
      </c>
      <c r="E98" s="324"/>
      <c r="F98" s="213"/>
      <c r="G98" s="222"/>
    </row>
    <row r="99" spans="1:7" s="217" customFormat="1" ht="14.25" customHeight="1" x14ac:dyDescent="0.25">
      <c r="A99" s="322">
        <v>313</v>
      </c>
      <c r="B99" s="345" t="s">
        <v>96</v>
      </c>
      <c r="C99" s="341">
        <f>SUM(C100:C100)</f>
        <v>0</v>
      </c>
      <c r="D99" s="341">
        <f>SUM(D100:D100)</f>
        <v>66.25</v>
      </c>
      <c r="E99" s="341"/>
      <c r="F99" s="213"/>
      <c r="G99" s="218"/>
    </row>
    <row r="100" spans="1:7" ht="14.25" customHeight="1" x14ac:dyDescent="0.25">
      <c r="A100" s="323">
        <v>3132</v>
      </c>
      <c r="B100" s="347" t="s">
        <v>176</v>
      </c>
      <c r="C100" s="348">
        <v>0</v>
      </c>
      <c r="D100" s="348">
        <v>66.25</v>
      </c>
      <c r="E100" s="348"/>
      <c r="F100" s="213"/>
      <c r="G100" s="222"/>
    </row>
    <row r="101" spans="1:7" s="207" customFormat="1" ht="14.45" customHeight="1" x14ac:dyDescent="0.25">
      <c r="A101" s="342">
        <v>32</v>
      </c>
      <c r="B101" s="343" t="s">
        <v>6</v>
      </c>
      <c r="C101" s="349">
        <f>SUM(C102)</f>
        <v>9.16</v>
      </c>
      <c r="D101" s="349">
        <f>SUM(D102)</f>
        <v>9</v>
      </c>
      <c r="E101" s="341">
        <f>(D101/C101)*100</f>
        <v>98.253275109170303</v>
      </c>
      <c r="F101" s="213"/>
      <c r="G101" s="213"/>
    </row>
    <row r="102" spans="1:7" s="217" customFormat="1" ht="14.45" customHeight="1" x14ac:dyDescent="0.25">
      <c r="A102" s="322">
        <v>321</v>
      </c>
      <c r="B102" s="345" t="s">
        <v>102</v>
      </c>
      <c r="C102" s="357">
        <f>SUM(C103:C103)</f>
        <v>9.16</v>
      </c>
      <c r="D102" s="357">
        <f>SUM(D103:D103)</f>
        <v>9</v>
      </c>
      <c r="E102" s="341"/>
      <c r="F102" s="218"/>
      <c r="G102" s="218"/>
    </row>
    <row r="103" spans="1:7" x14ac:dyDescent="0.25">
      <c r="A103" s="323">
        <v>3212</v>
      </c>
      <c r="B103" s="347" t="s">
        <v>101</v>
      </c>
      <c r="C103" s="348">
        <v>9.16</v>
      </c>
      <c r="D103" s="348">
        <v>9</v>
      </c>
      <c r="E103" s="348"/>
      <c r="F103" s="213"/>
      <c r="G103" s="222"/>
    </row>
    <row r="104" spans="1:7" x14ac:dyDescent="0.25">
      <c r="A104" s="337">
        <v>61</v>
      </c>
      <c r="B104" s="337" t="s">
        <v>45</v>
      </c>
      <c r="C104" s="338">
        <f>SUM(C105)</f>
        <v>900</v>
      </c>
      <c r="D104" s="338">
        <f>SUM(D105)</f>
        <v>900</v>
      </c>
      <c r="E104" s="341">
        <f>(D104/C104)*100</f>
        <v>100</v>
      </c>
      <c r="F104" s="213"/>
      <c r="G104" s="222"/>
    </row>
    <row r="105" spans="1:7" x14ac:dyDescent="0.25">
      <c r="A105" s="339">
        <v>3</v>
      </c>
      <c r="B105" s="340" t="s">
        <v>33</v>
      </c>
      <c r="C105" s="307">
        <f>SUM(C106)</f>
        <v>900</v>
      </c>
      <c r="D105" s="307">
        <f>SUM(D106)</f>
        <v>900</v>
      </c>
      <c r="E105" s="341">
        <f>(D105/C105)*100</f>
        <v>100</v>
      </c>
      <c r="F105" s="213"/>
      <c r="G105" s="222"/>
    </row>
    <row r="106" spans="1:7" x14ac:dyDescent="0.25">
      <c r="A106" s="342">
        <v>32</v>
      </c>
      <c r="B106" s="343" t="s">
        <v>6</v>
      </c>
      <c r="C106" s="349">
        <f>SUM(C107,C109)</f>
        <v>900</v>
      </c>
      <c r="D106" s="349">
        <f>SUM(D107,D109)</f>
        <v>900</v>
      </c>
      <c r="E106" s="341">
        <f>(D106/C106)*100</f>
        <v>100</v>
      </c>
      <c r="F106" s="213"/>
      <c r="G106" s="222"/>
    </row>
    <row r="107" spans="1:7" x14ac:dyDescent="0.25">
      <c r="A107" s="352">
        <v>322</v>
      </c>
      <c r="B107" s="340" t="s">
        <v>103</v>
      </c>
      <c r="C107" s="307">
        <f>SUM(C108)</f>
        <v>380.89</v>
      </c>
      <c r="D107" s="307">
        <f>SUM(D108)</f>
        <v>380.89</v>
      </c>
      <c r="E107" s="307"/>
      <c r="F107" s="213"/>
      <c r="G107" s="222"/>
    </row>
    <row r="108" spans="1:7" x14ac:dyDescent="0.25">
      <c r="A108" s="323">
        <v>3221</v>
      </c>
      <c r="B108" s="347" t="s">
        <v>120</v>
      </c>
      <c r="C108" s="348">
        <v>380.89</v>
      </c>
      <c r="D108" s="348">
        <v>380.89</v>
      </c>
      <c r="E108" s="348"/>
      <c r="F108" s="213"/>
      <c r="G108" s="222"/>
    </row>
    <row r="109" spans="1:7" x14ac:dyDescent="0.25">
      <c r="A109" s="322">
        <v>323</v>
      </c>
      <c r="B109" s="345" t="s">
        <v>89</v>
      </c>
      <c r="C109" s="341">
        <f>SUM(C110:C113)</f>
        <v>519.11</v>
      </c>
      <c r="D109" s="341">
        <f>SUM(D110:D113)</f>
        <v>519.11</v>
      </c>
      <c r="E109" s="341"/>
      <c r="F109" s="213"/>
      <c r="G109" s="222"/>
    </row>
    <row r="110" spans="1:7" x14ac:dyDescent="0.25">
      <c r="A110" s="323">
        <v>3231</v>
      </c>
      <c r="B110" s="347" t="s">
        <v>187</v>
      </c>
      <c r="C110" s="348"/>
      <c r="D110" s="348">
        <v>0</v>
      </c>
      <c r="E110" s="348"/>
      <c r="F110" s="213"/>
      <c r="G110" s="222"/>
    </row>
    <row r="111" spans="1:7" x14ac:dyDescent="0.25">
      <c r="A111" s="323">
        <v>3232</v>
      </c>
      <c r="B111" s="347" t="s">
        <v>189</v>
      </c>
      <c r="C111" s="348">
        <v>267.25</v>
      </c>
      <c r="D111" s="348">
        <v>267.25</v>
      </c>
      <c r="E111" s="348"/>
      <c r="F111" s="213"/>
      <c r="G111" s="222"/>
    </row>
    <row r="112" spans="1:7" x14ac:dyDescent="0.25">
      <c r="A112" s="323">
        <v>3237</v>
      </c>
      <c r="B112" s="347" t="s">
        <v>123</v>
      </c>
      <c r="C112" s="348">
        <v>90</v>
      </c>
      <c r="D112" s="348">
        <v>90</v>
      </c>
      <c r="E112" s="348"/>
      <c r="F112" s="213"/>
      <c r="G112" s="222"/>
    </row>
    <row r="113" spans="1:7" x14ac:dyDescent="0.25">
      <c r="A113" s="323">
        <v>3239</v>
      </c>
      <c r="B113" s="347" t="s">
        <v>124</v>
      </c>
      <c r="C113" s="348">
        <v>161.86000000000001</v>
      </c>
      <c r="D113" s="348">
        <v>161.86000000000001</v>
      </c>
      <c r="E113" s="348"/>
      <c r="F113" s="213"/>
      <c r="G113" s="222"/>
    </row>
    <row r="114" spans="1:7" s="219" customFormat="1" x14ac:dyDescent="0.2">
      <c r="A114" s="337" t="s">
        <v>258</v>
      </c>
      <c r="B114" s="358" t="s">
        <v>257</v>
      </c>
      <c r="C114" s="307">
        <f>SUM(C115)</f>
        <v>33536</v>
      </c>
      <c r="D114" s="307">
        <f>SUM(D115)</f>
        <v>33451.229999999996</v>
      </c>
      <c r="E114" s="359">
        <f t="shared" ref="E114:E116" si="4">(D114/C114)*100</f>
        <v>99.747226860687007</v>
      </c>
    </row>
    <row r="115" spans="1:7" s="219" customFormat="1" x14ac:dyDescent="0.2">
      <c r="A115" s="337">
        <v>11</v>
      </c>
      <c r="B115" s="337" t="s">
        <v>29</v>
      </c>
      <c r="C115" s="338">
        <f>SUM(C116,C128)</f>
        <v>33536</v>
      </c>
      <c r="D115" s="338">
        <f>SUM(D116,D128)</f>
        <v>33451.229999999996</v>
      </c>
      <c r="E115" s="359">
        <f t="shared" si="4"/>
        <v>99.747226860687007</v>
      </c>
    </row>
    <row r="116" spans="1:7" s="216" customFormat="1" x14ac:dyDescent="0.2">
      <c r="A116" s="356">
        <v>3</v>
      </c>
      <c r="B116" s="345" t="s">
        <v>33</v>
      </c>
      <c r="C116" s="341">
        <f>SUM(C117)</f>
        <v>25885</v>
      </c>
      <c r="D116" s="341">
        <f>SUM(D117)</f>
        <v>25800.85</v>
      </c>
      <c r="E116" s="341">
        <f t="shared" si="4"/>
        <v>99.674908248020088</v>
      </c>
    </row>
    <row r="117" spans="1:7" s="207" customFormat="1" ht="15.75" customHeight="1" x14ac:dyDescent="0.25">
      <c r="A117" s="350">
        <v>32</v>
      </c>
      <c r="B117" s="334" t="s">
        <v>6</v>
      </c>
      <c r="C117" s="351">
        <f>SUM(C118,C121,C123)</f>
        <v>25885</v>
      </c>
      <c r="D117" s="351">
        <f>SUM(D118,D121,D123)</f>
        <v>25800.85</v>
      </c>
      <c r="E117" s="351">
        <f>SUM(D117/C117*100)</f>
        <v>99.674908248020088</v>
      </c>
      <c r="F117" s="213"/>
      <c r="G117" s="213"/>
    </row>
    <row r="118" spans="1:7" s="217" customFormat="1" ht="15.75" customHeight="1" x14ac:dyDescent="0.25">
      <c r="A118" s="322">
        <v>321</v>
      </c>
      <c r="B118" s="345" t="s">
        <v>102</v>
      </c>
      <c r="C118" s="307">
        <f>SUM(C119:C120)</f>
        <v>528</v>
      </c>
      <c r="D118" s="307">
        <f>SUM(D119:D120)</f>
        <v>450</v>
      </c>
      <c r="E118" s="307"/>
      <c r="F118" s="213"/>
      <c r="G118" s="218"/>
    </row>
    <row r="119" spans="1:7" ht="15.75" customHeight="1" x14ac:dyDescent="0.25">
      <c r="A119" s="323" t="s">
        <v>177</v>
      </c>
      <c r="B119" s="347" t="s">
        <v>178</v>
      </c>
      <c r="C119" s="324">
        <v>450</v>
      </c>
      <c r="D119" s="348">
        <v>450</v>
      </c>
      <c r="E119" s="324"/>
      <c r="F119" s="213"/>
    </row>
    <row r="120" spans="1:7" ht="15.75" customHeight="1" x14ac:dyDescent="0.25">
      <c r="A120" s="323">
        <v>3214</v>
      </c>
      <c r="B120" s="347" t="s">
        <v>289</v>
      </c>
      <c r="C120" s="324">
        <v>78</v>
      </c>
      <c r="D120" s="348">
        <v>0</v>
      </c>
      <c r="E120" s="324"/>
      <c r="F120" s="213"/>
    </row>
    <row r="121" spans="1:7" s="217" customFormat="1" ht="15.75" customHeight="1" x14ac:dyDescent="0.25">
      <c r="A121" s="352">
        <v>322</v>
      </c>
      <c r="B121" s="340" t="s">
        <v>103</v>
      </c>
      <c r="C121" s="307">
        <f>SUM(C122)</f>
        <v>512</v>
      </c>
      <c r="D121" s="307">
        <f>SUM(D122)</f>
        <v>509.66</v>
      </c>
      <c r="E121" s="307"/>
      <c r="F121" s="213"/>
      <c r="G121" s="218"/>
    </row>
    <row r="122" spans="1:7" ht="15.75" customHeight="1" x14ac:dyDescent="0.25">
      <c r="A122" s="353" t="s">
        <v>180</v>
      </c>
      <c r="B122" s="354" t="s">
        <v>120</v>
      </c>
      <c r="C122" s="324">
        <v>512</v>
      </c>
      <c r="D122" s="348">
        <v>509.66</v>
      </c>
      <c r="E122" s="324"/>
      <c r="F122" s="213"/>
    </row>
    <row r="123" spans="1:7" s="217" customFormat="1" ht="15.75" customHeight="1" x14ac:dyDescent="0.25">
      <c r="A123" s="322">
        <v>323</v>
      </c>
      <c r="B123" s="345" t="s">
        <v>89</v>
      </c>
      <c r="C123" s="341">
        <f>SUM(C124:C127)</f>
        <v>24845</v>
      </c>
      <c r="D123" s="341">
        <f>SUM(D124:D127)</f>
        <v>24841.19</v>
      </c>
      <c r="E123" s="341"/>
      <c r="F123" s="213"/>
      <c r="G123" s="218"/>
    </row>
    <row r="124" spans="1:7" x14ac:dyDescent="0.25">
      <c r="A124" s="323">
        <v>3232</v>
      </c>
      <c r="B124" s="347" t="s">
        <v>189</v>
      </c>
      <c r="C124" s="348">
        <v>2244</v>
      </c>
      <c r="D124" s="348">
        <v>2244</v>
      </c>
      <c r="E124" s="348"/>
      <c r="F124" s="213"/>
      <c r="G124" s="222"/>
    </row>
    <row r="125" spans="1:7" x14ac:dyDescent="0.25">
      <c r="A125" s="323">
        <v>3237</v>
      </c>
      <c r="B125" s="347" t="s">
        <v>123</v>
      </c>
      <c r="C125" s="348">
        <v>3104</v>
      </c>
      <c r="D125" s="348">
        <v>3104</v>
      </c>
      <c r="E125" s="348"/>
      <c r="F125" s="213"/>
      <c r="G125" s="222"/>
    </row>
    <row r="126" spans="1:7" x14ac:dyDescent="0.25">
      <c r="A126" s="381">
        <v>3238</v>
      </c>
      <c r="B126" s="347" t="s">
        <v>192</v>
      </c>
      <c r="C126" s="348">
        <v>2600</v>
      </c>
      <c r="D126" s="348">
        <v>2600</v>
      </c>
      <c r="E126" s="348"/>
      <c r="F126" s="213"/>
      <c r="G126" s="222"/>
    </row>
    <row r="127" spans="1:7" x14ac:dyDescent="0.25">
      <c r="A127" s="381">
        <v>3239</v>
      </c>
      <c r="B127" s="347" t="s">
        <v>124</v>
      </c>
      <c r="C127" s="348">
        <v>16897</v>
      </c>
      <c r="D127" s="348">
        <v>16893.189999999999</v>
      </c>
      <c r="E127" s="348"/>
      <c r="F127" s="213"/>
      <c r="G127" s="222"/>
    </row>
    <row r="128" spans="1:7" s="219" customFormat="1" x14ac:dyDescent="0.2">
      <c r="A128" s="307">
        <v>4</v>
      </c>
      <c r="B128" s="337" t="s">
        <v>10</v>
      </c>
      <c r="C128" s="338">
        <f>SUM(C129)</f>
        <v>7651</v>
      </c>
      <c r="D128" s="338">
        <f>SUM(D129)</f>
        <v>7650.38</v>
      </c>
      <c r="E128" s="359">
        <f>(D128/C128)*100</f>
        <v>99.991896484119721</v>
      </c>
    </row>
    <row r="129" spans="1:7" s="220" customFormat="1" x14ac:dyDescent="0.2">
      <c r="A129" s="350">
        <v>42</v>
      </c>
      <c r="B129" s="334" t="s">
        <v>11</v>
      </c>
      <c r="C129" s="351">
        <f>SUM(C130,C133)</f>
        <v>7651</v>
      </c>
      <c r="D129" s="351">
        <f>SUM(D130,D133)</f>
        <v>7650.38</v>
      </c>
      <c r="E129" s="359">
        <f>(D129/C129)*100</f>
        <v>99.991896484119721</v>
      </c>
      <c r="F129" s="219"/>
      <c r="G129" s="219"/>
    </row>
    <row r="130" spans="1:7" s="217" customFormat="1" x14ac:dyDescent="0.25">
      <c r="A130" s="352">
        <v>422</v>
      </c>
      <c r="B130" s="340" t="s">
        <v>92</v>
      </c>
      <c r="C130" s="307">
        <f>SUM(C131:C132)</f>
        <v>7651</v>
      </c>
      <c r="D130" s="307">
        <f>SUM(D131:D132)</f>
        <v>7650.38</v>
      </c>
      <c r="E130" s="359"/>
      <c r="F130" s="219"/>
      <c r="G130" s="219"/>
    </row>
    <row r="131" spans="1:7" x14ac:dyDescent="0.25">
      <c r="A131" s="353" t="s">
        <v>200</v>
      </c>
      <c r="B131" s="354" t="s">
        <v>201</v>
      </c>
      <c r="C131" s="324">
        <v>7651</v>
      </c>
      <c r="D131" s="324">
        <v>7650.38</v>
      </c>
      <c r="E131" s="359"/>
      <c r="F131" s="219"/>
      <c r="G131" s="219"/>
    </row>
    <row r="132" spans="1:7" x14ac:dyDescent="0.25">
      <c r="A132" s="353">
        <v>4223</v>
      </c>
      <c r="B132" s="354" t="s">
        <v>264</v>
      </c>
      <c r="C132" s="324">
        <v>0</v>
      </c>
      <c r="D132" s="324">
        <v>0</v>
      </c>
      <c r="E132" s="359"/>
      <c r="F132" s="219"/>
      <c r="G132" s="219"/>
    </row>
    <row r="133" spans="1:7" s="217" customFormat="1" x14ac:dyDescent="0.25">
      <c r="A133" s="352">
        <v>426</v>
      </c>
      <c r="B133" s="340" t="s">
        <v>100</v>
      </c>
      <c r="C133" s="307">
        <f>SUM(C134)</f>
        <v>0</v>
      </c>
      <c r="D133" s="307">
        <f>SUM(D134)</f>
        <v>0</v>
      </c>
      <c r="E133" s="359"/>
      <c r="F133" s="219"/>
      <c r="G133" s="219"/>
    </row>
    <row r="134" spans="1:7" x14ac:dyDescent="0.25">
      <c r="A134" s="353">
        <v>4262</v>
      </c>
      <c r="B134" s="354" t="s">
        <v>267</v>
      </c>
      <c r="C134" s="324">
        <v>0</v>
      </c>
      <c r="D134" s="324">
        <v>0</v>
      </c>
      <c r="E134" s="359"/>
      <c r="F134" s="219"/>
      <c r="G134" s="219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alignWithMargins="0"/>
  <ignoredErrors>
    <ignoredError sqref="E6:E10 E18 E48 E114:E115" evalError="1"/>
    <ignoredError sqref="A20:A21 A131 A86 A8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40" zoomScale="85" zoomScaleNormal="85" workbookViewId="0">
      <selection activeCell="F277" sqref="F277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140625" style="19" hidden="1" customWidth="1"/>
    <col min="4" max="4" width="18.42578125" style="19" hidden="1" customWidth="1"/>
    <col min="5" max="5" width="17.85546875" style="46" customWidth="1"/>
    <col min="6" max="7" width="17.85546875" style="19" customWidth="1"/>
    <col min="8" max="14" width="15.140625" style="19" customWidth="1"/>
    <col min="15" max="15" width="16.7109375" style="19" hidden="1" customWidth="1"/>
    <col min="16" max="16" width="16.42578125" style="19" hidden="1" customWidth="1"/>
    <col min="17" max="17" width="12.5703125" style="19" hidden="1" customWidth="1"/>
    <col min="18" max="18" width="15.140625" style="19" customWidth="1"/>
    <col min="19" max="16384" width="9.140625" style="19"/>
  </cols>
  <sheetData>
    <row r="1" spans="1:9" ht="46.5" hidden="1" customHeight="1" x14ac:dyDescent="0.25">
      <c r="A1" s="477" t="s">
        <v>48</v>
      </c>
      <c r="B1" s="477"/>
      <c r="C1" s="477"/>
      <c r="D1" s="477"/>
      <c r="E1" s="477"/>
      <c r="F1" s="477"/>
      <c r="G1" s="477"/>
      <c r="H1" s="18"/>
      <c r="I1" s="18"/>
    </row>
    <row r="2" spans="1:9" ht="15.6" hidden="1" customHeight="1" x14ac:dyDescent="0.25">
      <c r="A2" s="20"/>
      <c r="B2" s="20"/>
      <c r="C2" s="20"/>
      <c r="D2" s="20"/>
      <c r="E2" s="20"/>
      <c r="F2" s="20"/>
      <c r="G2" s="20"/>
    </row>
    <row r="3" spans="1:9" ht="18.75" hidden="1" customHeight="1" x14ac:dyDescent="0.25">
      <c r="A3" s="478" t="s">
        <v>49</v>
      </c>
      <c r="B3" s="478"/>
      <c r="C3" s="478"/>
      <c r="D3" s="478"/>
      <c r="E3" s="478"/>
      <c r="F3" s="478"/>
      <c r="G3" s="478"/>
      <c r="H3" s="20"/>
      <c r="I3" s="20"/>
    </row>
    <row r="4" spans="1:9" s="23" customFormat="1" ht="15.6" hidden="1" customHeight="1" x14ac:dyDescent="0.25">
      <c r="A4" s="21" t="s">
        <v>50</v>
      </c>
      <c r="B4" s="22"/>
      <c r="C4" s="22"/>
      <c r="D4" s="22"/>
      <c r="E4" s="22"/>
    </row>
    <row r="5" spans="1:9" ht="33" hidden="1" customHeight="1" x14ac:dyDescent="0.25">
      <c r="A5" s="471" t="s">
        <v>51</v>
      </c>
      <c r="B5" s="473" t="s">
        <v>52</v>
      </c>
      <c r="C5" s="24"/>
      <c r="D5" s="24"/>
      <c r="E5" s="475" t="s">
        <v>53</v>
      </c>
      <c r="F5" s="475" t="s">
        <v>54</v>
      </c>
      <c r="G5" s="475" t="s">
        <v>0</v>
      </c>
    </row>
    <row r="6" spans="1:9" ht="33" hidden="1" customHeight="1" x14ac:dyDescent="0.25">
      <c r="A6" s="472"/>
      <c r="B6" s="474"/>
      <c r="C6" s="25"/>
      <c r="D6" s="25"/>
      <c r="E6" s="476"/>
      <c r="F6" s="476"/>
      <c r="G6" s="476"/>
    </row>
    <row r="7" spans="1:9" ht="33" hidden="1" customHeight="1" x14ac:dyDescent="0.25">
      <c r="A7" s="26">
        <v>67</v>
      </c>
      <c r="B7" s="27" t="s">
        <v>4</v>
      </c>
      <c r="C7" s="27"/>
      <c r="D7" s="27"/>
      <c r="E7" s="28">
        <f>SUM(E8:E9)</f>
        <v>21004501</v>
      </c>
      <c r="F7" s="28">
        <f>SUM(F8:F9)</f>
        <v>14243113</v>
      </c>
      <c r="G7" s="29">
        <f>SUM(G8:G9)</f>
        <v>14243113</v>
      </c>
    </row>
    <row r="8" spans="1:9" ht="33" hidden="1" customHeight="1" x14ac:dyDescent="0.25">
      <c r="A8" s="30">
        <v>671</v>
      </c>
      <c r="B8" s="31" t="s">
        <v>55</v>
      </c>
      <c r="C8" s="31"/>
      <c r="D8" s="31"/>
      <c r="E8" s="32">
        <v>4243113</v>
      </c>
      <c r="F8" s="32">
        <v>4243113</v>
      </c>
      <c r="G8" s="33">
        <v>4243113</v>
      </c>
    </row>
    <row r="9" spans="1:9" ht="46.9" hidden="1" customHeight="1" x14ac:dyDescent="0.25">
      <c r="A9" s="34">
        <v>671</v>
      </c>
      <c r="B9" s="35" t="s">
        <v>56</v>
      </c>
      <c r="C9" s="35"/>
      <c r="D9" s="35"/>
      <c r="E9" s="36">
        <v>16761388</v>
      </c>
      <c r="F9" s="36">
        <v>10000000</v>
      </c>
      <c r="G9" s="37">
        <v>10000000</v>
      </c>
    </row>
    <row r="10" spans="1:9" ht="15.6" hidden="1" customHeight="1" x14ac:dyDescent="0.25">
      <c r="A10" s="469" t="s">
        <v>57</v>
      </c>
      <c r="B10" s="470"/>
      <c r="C10" s="38"/>
      <c r="D10" s="38"/>
      <c r="E10" s="39">
        <f>SUM(E7)</f>
        <v>21004501</v>
      </c>
      <c r="F10" s="39">
        <f>SUM(F7)</f>
        <v>14243113</v>
      </c>
      <c r="G10" s="39">
        <f>SUM(G7)</f>
        <v>14243113</v>
      </c>
    </row>
    <row r="11" spans="1:9" ht="15.6" hidden="1" customHeight="1" x14ac:dyDescent="0.25">
      <c r="A11" s="40"/>
      <c r="B11" s="40"/>
      <c r="C11" s="40"/>
      <c r="D11" s="40"/>
      <c r="E11" s="41"/>
      <c r="F11" s="41"/>
      <c r="G11" s="41"/>
    </row>
    <row r="12" spans="1:9" ht="18" hidden="1" customHeight="1" x14ac:dyDescent="0.25">
      <c r="A12" s="21" t="s">
        <v>58</v>
      </c>
      <c r="B12" s="23"/>
      <c r="C12" s="23"/>
      <c r="D12" s="23"/>
      <c r="E12" s="22"/>
      <c r="F12" s="23"/>
      <c r="G12" s="23"/>
    </row>
    <row r="13" spans="1:9" ht="33" hidden="1" customHeight="1" x14ac:dyDescent="0.25">
      <c r="A13" s="471" t="s">
        <v>51</v>
      </c>
      <c r="B13" s="473" t="s">
        <v>52</v>
      </c>
      <c r="C13" s="24"/>
      <c r="D13" s="24"/>
      <c r="E13" s="475" t="s">
        <v>53</v>
      </c>
      <c r="F13" s="475" t="s">
        <v>54</v>
      </c>
      <c r="G13" s="475" t="s">
        <v>0</v>
      </c>
    </row>
    <row r="14" spans="1:9" ht="33" hidden="1" customHeight="1" x14ac:dyDescent="0.25">
      <c r="A14" s="472"/>
      <c r="B14" s="474"/>
      <c r="C14" s="25"/>
      <c r="D14" s="25"/>
      <c r="E14" s="476"/>
      <c r="F14" s="476"/>
      <c r="G14" s="476"/>
    </row>
    <row r="15" spans="1:9" ht="15.6" hidden="1" customHeight="1" x14ac:dyDescent="0.25">
      <c r="A15" s="26">
        <v>64</v>
      </c>
      <c r="B15" s="27" t="s">
        <v>59</v>
      </c>
      <c r="C15" s="27"/>
      <c r="D15" s="27"/>
      <c r="E15" s="28">
        <f>SUM(E16)</f>
        <v>5000</v>
      </c>
      <c r="F15" s="28">
        <f>SUM(F16)</f>
        <v>100000</v>
      </c>
      <c r="G15" s="29">
        <f>SUM(G16)</f>
        <v>100000</v>
      </c>
    </row>
    <row r="16" spans="1:9" ht="15.6" hidden="1" customHeight="1" x14ac:dyDescent="0.25">
      <c r="A16" s="30">
        <v>641</v>
      </c>
      <c r="B16" s="31" t="s">
        <v>60</v>
      </c>
      <c r="C16" s="31"/>
      <c r="D16" s="31"/>
      <c r="E16" s="32">
        <v>5000</v>
      </c>
      <c r="F16" s="32">
        <v>100000</v>
      </c>
      <c r="G16" s="33">
        <v>100000</v>
      </c>
    </row>
    <row r="17" spans="1:16" ht="31.15" hidden="1" customHeight="1" x14ac:dyDescent="0.25">
      <c r="A17" s="42">
        <v>66</v>
      </c>
      <c r="B17" s="43" t="s">
        <v>8</v>
      </c>
      <c r="C17" s="43"/>
      <c r="D17" s="43"/>
      <c r="E17" s="44">
        <f>SUM(E18:E18)</f>
        <v>2595000</v>
      </c>
      <c r="F17" s="44">
        <f>SUM(F18:F18)</f>
        <v>2500000</v>
      </c>
      <c r="G17" s="45">
        <f>SUM(G18:G18)</f>
        <v>2500000</v>
      </c>
    </row>
    <row r="18" spans="1:16" ht="31.15" hidden="1" customHeight="1" x14ac:dyDescent="0.25">
      <c r="A18" s="34">
        <v>661</v>
      </c>
      <c r="B18" s="35" t="s">
        <v>61</v>
      </c>
      <c r="C18" s="35"/>
      <c r="D18" s="35"/>
      <c r="E18" s="36">
        <v>2595000</v>
      </c>
      <c r="F18" s="36">
        <v>2500000</v>
      </c>
      <c r="G18" s="37">
        <v>2500000</v>
      </c>
    </row>
    <row r="19" spans="1:16" ht="15.6" hidden="1" customHeight="1" x14ac:dyDescent="0.25">
      <c r="A19" s="469" t="s">
        <v>62</v>
      </c>
      <c r="B19" s="470"/>
      <c r="C19" s="38"/>
      <c r="D19" s="38"/>
      <c r="E19" s="39">
        <f>SUM(E15,E17)</f>
        <v>2600000</v>
      </c>
      <c r="F19" s="39">
        <f>SUM(F15,F17)</f>
        <v>2600000</v>
      </c>
      <c r="G19" s="39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21" t="s">
        <v>63</v>
      </c>
      <c r="B21" s="23"/>
      <c r="C21" s="23"/>
      <c r="D21" s="23"/>
      <c r="E21" s="22"/>
      <c r="F21" s="23"/>
      <c r="G21" s="23"/>
    </row>
    <row r="22" spans="1:16" ht="33" hidden="1" customHeight="1" x14ac:dyDescent="0.25">
      <c r="A22" s="471" t="s">
        <v>51</v>
      </c>
      <c r="B22" s="473" t="s">
        <v>52</v>
      </c>
      <c r="C22" s="24"/>
      <c r="D22" s="24"/>
      <c r="E22" s="475" t="s">
        <v>53</v>
      </c>
      <c r="F22" s="475" t="s">
        <v>54</v>
      </c>
      <c r="G22" s="475" t="s">
        <v>0</v>
      </c>
    </row>
    <row r="23" spans="1:16" ht="15.6" hidden="1" customHeight="1" x14ac:dyDescent="0.25">
      <c r="A23" s="472"/>
      <c r="B23" s="474"/>
      <c r="C23" s="25"/>
      <c r="D23" s="25"/>
      <c r="E23" s="476"/>
      <c r="F23" s="476"/>
      <c r="G23" s="476"/>
    </row>
    <row r="24" spans="1:16" ht="15.6" hidden="1" customHeight="1" x14ac:dyDescent="0.25">
      <c r="A24" s="26">
        <v>652</v>
      </c>
      <c r="B24" s="27" t="s">
        <v>64</v>
      </c>
      <c r="C24" s="27"/>
      <c r="D24" s="27"/>
      <c r="E24" s="28">
        <f>SUM(E25:E25)</f>
        <v>15000000</v>
      </c>
      <c r="F24" s="28">
        <f>SUM(F25:F25)</f>
        <v>15000000</v>
      </c>
      <c r="G24" s="29">
        <f>SUM(G25:G25)</f>
        <v>15000000</v>
      </c>
    </row>
    <row r="25" spans="1:16" ht="15.6" hidden="1" customHeight="1" x14ac:dyDescent="0.25">
      <c r="A25" s="30">
        <v>6526</v>
      </c>
      <c r="B25" s="31" t="s">
        <v>65</v>
      </c>
      <c r="C25" s="31"/>
      <c r="D25" s="31"/>
      <c r="E25" s="32">
        <v>15000000</v>
      </c>
      <c r="F25" s="32">
        <v>15000000</v>
      </c>
      <c r="G25" s="33">
        <v>15000000</v>
      </c>
    </row>
    <row r="26" spans="1:16" ht="32.25" hidden="1" customHeight="1" x14ac:dyDescent="0.25">
      <c r="A26" s="42">
        <v>673</v>
      </c>
      <c r="B26" s="43" t="s">
        <v>66</v>
      </c>
      <c r="C26" s="43"/>
      <c r="D26" s="43"/>
      <c r="E26" s="44">
        <f>SUM(E27:E27)</f>
        <v>118878715</v>
      </c>
      <c r="F26" s="44">
        <f>SUM(F27:F27)</f>
        <v>118103420</v>
      </c>
      <c r="G26" s="45">
        <f>SUM(G27:G27)</f>
        <v>118093420</v>
      </c>
    </row>
    <row r="27" spans="1:16" ht="30.75" hidden="1" customHeight="1" x14ac:dyDescent="0.25">
      <c r="A27" s="34">
        <v>6731</v>
      </c>
      <c r="B27" s="35" t="s">
        <v>66</v>
      </c>
      <c r="C27" s="35"/>
      <c r="D27" s="35"/>
      <c r="E27" s="36">
        <v>118878715</v>
      </c>
      <c r="F27" s="36">
        <v>118103420</v>
      </c>
      <c r="G27" s="37">
        <v>118093420</v>
      </c>
    </row>
    <row r="28" spans="1:16" ht="21" hidden="1" customHeight="1" x14ac:dyDescent="0.25">
      <c r="A28" s="469" t="s">
        <v>67</v>
      </c>
      <c r="B28" s="470"/>
      <c r="C28" s="38"/>
      <c r="D28" s="38"/>
      <c r="E28" s="39">
        <f>SUM(E24,E26)</f>
        <v>133878715</v>
      </c>
      <c r="F28" s="39">
        <f>SUM(F24,F26)</f>
        <v>133103420</v>
      </c>
      <c r="G28" s="39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7" t="s">
        <v>68</v>
      </c>
    </row>
    <row r="31" spans="1:16" s="49" customFormat="1" ht="27" hidden="1" customHeight="1" x14ac:dyDescent="0.2">
      <c r="A31" s="471" t="s">
        <v>51</v>
      </c>
      <c r="B31" s="473" t="s">
        <v>52</v>
      </c>
      <c r="C31" s="24"/>
      <c r="D31" s="24"/>
      <c r="E31" s="475" t="s">
        <v>53</v>
      </c>
      <c r="F31" s="475" t="s">
        <v>54</v>
      </c>
      <c r="G31" s="475" t="s">
        <v>0</v>
      </c>
      <c r="H31" s="484"/>
      <c r="I31" s="485"/>
      <c r="J31" s="485"/>
      <c r="K31" s="485"/>
      <c r="L31" s="485"/>
      <c r="M31" s="481"/>
      <c r="N31" s="481"/>
      <c r="O31" s="48" t="s">
        <v>69</v>
      </c>
      <c r="P31" s="48" t="s">
        <v>70</v>
      </c>
    </row>
    <row r="32" spans="1:16" s="49" customFormat="1" ht="22.5" hidden="1" customHeight="1" x14ac:dyDescent="0.2">
      <c r="A32" s="472"/>
      <c r="B32" s="474"/>
      <c r="C32" s="25"/>
      <c r="D32" s="25"/>
      <c r="E32" s="476"/>
      <c r="F32" s="476"/>
      <c r="G32" s="476"/>
      <c r="H32" s="484"/>
      <c r="I32" s="485"/>
      <c r="J32" s="485"/>
      <c r="K32" s="485"/>
      <c r="L32" s="485"/>
      <c r="M32" s="481"/>
      <c r="N32" s="481"/>
      <c r="O32" s="50"/>
      <c r="P32" s="50"/>
    </row>
    <row r="33" spans="1:17" s="52" customFormat="1" ht="31.15" hidden="1" customHeight="1" x14ac:dyDescent="0.25">
      <c r="A33" s="26">
        <v>63</v>
      </c>
      <c r="B33" s="27" t="s">
        <v>13</v>
      </c>
      <c r="C33" s="27"/>
      <c r="D33" s="27"/>
      <c r="E33" s="28">
        <f>SUM(E34:E36)</f>
        <v>52412794</v>
      </c>
      <c r="F33" s="28">
        <f>SUM(F34:F36)</f>
        <v>10687410</v>
      </c>
      <c r="G33" s="29">
        <f>SUM(G34:G36)</f>
        <v>0</v>
      </c>
      <c r="H33" s="41"/>
      <c r="I33" s="41"/>
      <c r="J33" s="41"/>
      <c r="K33" s="41"/>
      <c r="L33" s="41"/>
      <c r="M33" s="41"/>
      <c r="N33" s="41"/>
      <c r="O33" s="51"/>
      <c r="P33" s="51"/>
    </row>
    <row r="34" spans="1:17" ht="14.25" hidden="1" customHeight="1" x14ac:dyDescent="0.25">
      <c r="A34" s="30">
        <v>634</v>
      </c>
      <c r="B34" s="31" t="s">
        <v>71</v>
      </c>
      <c r="C34" s="31"/>
      <c r="D34" s="31"/>
      <c r="E34" s="53">
        <v>10000</v>
      </c>
      <c r="F34" s="53">
        <v>10000</v>
      </c>
      <c r="G34" s="54">
        <v>0</v>
      </c>
      <c r="H34" s="55"/>
      <c r="I34" s="55"/>
      <c r="J34" s="55"/>
      <c r="K34" s="55"/>
      <c r="L34" s="55"/>
      <c r="M34" s="55"/>
      <c r="N34" s="55"/>
      <c r="O34" s="19">
        <v>0</v>
      </c>
      <c r="P34" s="19">
        <v>0</v>
      </c>
      <c r="Q34" s="52"/>
    </row>
    <row r="35" spans="1:17" ht="31.15" hidden="1" customHeight="1" x14ac:dyDescent="0.25">
      <c r="A35" s="30">
        <v>636</v>
      </c>
      <c r="B35" s="31" t="s">
        <v>72</v>
      </c>
      <c r="C35" s="31"/>
      <c r="D35" s="31"/>
      <c r="E35" s="53">
        <v>0</v>
      </c>
      <c r="F35" s="53">
        <v>2135482</v>
      </c>
      <c r="G35" s="54">
        <v>0</v>
      </c>
      <c r="H35" s="55"/>
      <c r="I35" s="55"/>
      <c r="J35" s="55"/>
      <c r="K35" s="55"/>
      <c r="L35" s="55"/>
      <c r="M35" s="55"/>
      <c r="N35" s="55"/>
      <c r="Q35" s="52"/>
    </row>
    <row r="36" spans="1:17" ht="15.6" hidden="1" customHeight="1" x14ac:dyDescent="0.25">
      <c r="A36" s="34">
        <v>638</v>
      </c>
      <c r="B36" s="35" t="s">
        <v>73</v>
      </c>
      <c r="C36" s="35"/>
      <c r="D36" s="35"/>
      <c r="E36" s="56">
        <v>52402794</v>
      </c>
      <c r="F36" s="56">
        <v>8541928</v>
      </c>
      <c r="G36" s="57">
        <v>0</v>
      </c>
      <c r="H36" s="55"/>
      <c r="I36" s="55"/>
      <c r="J36" s="55"/>
      <c r="K36" s="55"/>
      <c r="L36" s="55"/>
      <c r="M36" s="55"/>
      <c r="N36" s="55"/>
      <c r="O36" s="19">
        <v>0</v>
      </c>
      <c r="P36" s="19">
        <v>0</v>
      </c>
      <c r="Q36" s="52"/>
    </row>
    <row r="37" spans="1:17" s="47" customFormat="1" ht="15.6" hidden="1" customHeight="1" x14ac:dyDescent="0.25">
      <c r="A37" s="482" t="s">
        <v>74</v>
      </c>
      <c r="B37" s="483"/>
      <c r="C37" s="58"/>
      <c r="D37" s="58"/>
      <c r="E37" s="39">
        <f>SUM(E33)</f>
        <v>52412794</v>
      </c>
      <c r="F37" s="39">
        <f>SUM(F33)</f>
        <v>10687410</v>
      </c>
      <c r="G37" s="39">
        <f>SUM(G33)</f>
        <v>0</v>
      </c>
      <c r="H37" s="41"/>
      <c r="I37" s="41"/>
      <c r="J37" s="41"/>
      <c r="K37" s="41"/>
      <c r="L37" s="41"/>
      <c r="M37" s="41"/>
      <c r="N37" s="41"/>
      <c r="Q37" s="52"/>
    </row>
    <row r="38" spans="1:17" s="47" customFormat="1" ht="15.6" hidden="1" customHeight="1" x14ac:dyDescent="0.25">
      <c r="A38" s="40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Q38" s="52"/>
    </row>
    <row r="39" spans="1:17" s="47" customFormat="1" ht="15.6" hidden="1" customHeight="1" x14ac:dyDescent="0.25">
      <c r="A39" s="47" t="s">
        <v>75</v>
      </c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Q39" s="52"/>
    </row>
    <row r="40" spans="1:17" ht="15" hidden="1" customHeight="1" x14ac:dyDescent="0.25">
      <c r="A40" s="471" t="s">
        <v>51</v>
      </c>
      <c r="B40" s="473" t="s">
        <v>52</v>
      </c>
      <c r="C40" s="24"/>
      <c r="D40" s="24"/>
      <c r="E40" s="475" t="s">
        <v>53</v>
      </c>
      <c r="F40" s="475" t="s">
        <v>54</v>
      </c>
      <c r="G40" s="475" t="s">
        <v>0</v>
      </c>
      <c r="H40" s="18"/>
      <c r="I40" s="18"/>
      <c r="J40" s="18"/>
      <c r="K40" s="18"/>
      <c r="L40" s="59"/>
      <c r="M40" s="60"/>
      <c r="O40" s="59"/>
      <c r="P40" s="59"/>
      <c r="Q40" s="59"/>
    </row>
    <row r="41" spans="1:17" ht="39" hidden="1" customHeight="1" x14ac:dyDescent="0.25">
      <c r="A41" s="472"/>
      <c r="B41" s="474"/>
      <c r="C41" s="25"/>
      <c r="D41" s="25"/>
      <c r="E41" s="476"/>
      <c r="F41" s="476"/>
      <c r="G41" s="476"/>
      <c r="H41" s="18"/>
      <c r="I41" s="18"/>
      <c r="J41" s="18"/>
      <c r="K41" s="18"/>
      <c r="L41" s="59"/>
      <c r="M41" s="60"/>
      <c r="O41" s="59"/>
      <c r="P41" s="59"/>
      <c r="Q41" s="59"/>
    </row>
    <row r="42" spans="1:17" ht="31.15" hidden="1" customHeight="1" x14ac:dyDescent="0.25">
      <c r="A42" s="26">
        <v>66</v>
      </c>
      <c r="B42" s="27" t="s">
        <v>8</v>
      </c>
      <c r="C42" s="27"/>
      <c r="D42" s="27"/>
      <c r="E42" s="28">
        <f>SUM(E43:E43)</f>
        <v>1140740</v>
      </c>
      <c r="F42" s="28">
        <f>SUM(F43:F43)</f>
        <v>1000000</v>
      </c>
      <c r="G42" s="29">
        <f>SUM(G43:G43)</f>
        <v>1000000</v>
      </c>
      <c r="H42" s="18"/>
      <c r="I42" s="18"/>
      <c r="J42" s="18"/>
      <c r="K42" s="18"/>
      <c r="L42" s="59"/>
      <c r="M42" s="60"/>
      <c r="O42" s="59"/>
      <c r="P42" s="59"/>
      <c r="Q42" s="59"/>
    </row>
    <row r="43" spans="1:17" ht="31.15" hidden="1" customHeight="1" x14ac:dyDescent="0.25">
      <c r="A43" s="34">
        <v>663</v>
      </c>
      <c r="B43" s="35" t="s">
        <v>76</v>
      </c>
      <c r="C43" s="35"/>
      <c r="D43" s="35"/>
      <c r="E43" s="36">
        <v>1140740</v>
      </c>
      <c r="F43" s="36">
        <v>1000000</v>
      </c>
      <c r="G43" s="37">
        <v>1000000</v>
      </c>
      <c r="H43" s="18"/>
      <c r="I43" s="18"/>
      <c r="J43" s="18"/>
      <c r="K43" s="18"/>
      <c r="L43" s="59"/>
      <c r="M43" s="60"/>
      <c r="O43" s="59"/>
      <c r="P43" s="59"/>
      <c r="Q43" s="59"/>
    </row>
    <row r="44" spans="1:17" ht="15.6" hidden="1" customHeight="1" x14ac:dyDescent="0.25">
      <c r="A44" s="479" t="s">
        <v>77</v>
      </c>
      <c r="B44" s="480"/>
      <c r="C44" s="61"/>
      <c r="D44" s="61"/>
      <c r="E44" s="39">
        <f>SUM(E42)</f>
        <v>1140740</v>
      </c>
      <c r="F44" s="39">
        <f>SUM(F42)</f>
        <v>1000000</v>
      </c>
      <c r="G44" s="39">
        <f>SUM(G42)</f>
        <v>1000000</v>
      </c>
      <c r="H44" s="18"/>
      <c r="I44" s="18"/>
      <c r="J44" s="18"/>
      <c r="K44" s="18"/>
      <c r="L44" s="59"/>
      <c r="M44" s="60"/>
      <c r="O44" s="59"/>
      <c r="P44" s="59"/>
      <c r="Q44" s="59"/>
    </row>
    <row r="45" spans="1:17" ht="15.6" hidden="1" customHeight="1" x14ac:dyDescent="0.25">
      <c r="A45" s="62"/>
      <c r="B45" s="62"/>
      <c r="C45" s="62"/>
      <c r="D45" s="62"/>
      <c r="E45" s="41"/>
      <c r="F45" s="41"/>
      <c r="G45" s="41"/>
      <c r="H45" s="18"/>
      <c r="I45" s="18"/>
      <c r="J45" s="18"/>
      <c r="K45" s="18"/>
      <c r="L45" s="59"/>
      <c r="M45" s="60"/>
      <c r="O45" s="59"/>
      <c r="P45" s="59"/>
      <c r="Q45" s="59"/>
    </row>
    <row r="46" spans="1:17" ht="15.6" hidden="1" customHeight="1" x14ac:dyDescent="0.25">
      <c r="A46" s="63" t="s">
        <v>78</v>
      </c>
      <c r="B46" s="64"/>
      <c r="C46" s="64"/>
      <c r="D46" s="64"/>
      <c r="E46" s="65"/>
      <c r="F46" s="64"/>
      <c r="G46" s="64"/>
      <c r="H46" s="18"/>
      <c r="I46" s="18"/>
      <c r="J46" s="18"/>
      <c r="K46" s="18"/>
      <c r="L46" s="59"/>
      <c r="M46" s="60"/>
      <c r="O46" s="59"/>
      <c r="P46" s="59"/>
      <c r="Q46" s="59"/>
    </row>
    <row r="47" spans="1:17" ht="15" hidden="1" customHeight="1" x14ac:dyDescent="0.25">
      <c r="A47" s="471" t="s">
        <v>51</v>
      </c>
      <c r="B47" s="473" t="s">
        <v>52</v>
      </c>
      <c r="C47" s="24"/>
      <c r="D47" s="24"/>
      <c r="E47" s="475" t="s">
        <v>53</v>
      </c>
      <c r="F47" s="475" t="s">
        <v>54</v>
      </c>
      <c r="G47" s="475" t="s">
        <v>0</v>
      </c>
      <c r="H47" s="18"/>
      <c r="I47" s="18"/>
      <c r="J47" s="18"/>
      <c r="K47" s="18"/>
      <c r="L47" s="59"/>
      <c r="M47" s="60"/>
      <c r="O47" s="59"/>
      <c r="P47" s="59"/>
      <c r="Q47" s="59"/>
    </row>
    <row r="48" spans="1:17" ht="39.75" hidden="1" customHeight="1" x14ac:dyDescent="0.25">
      <c r="A48" s="472"/>
      <c r="B48" s="474"/>
      <c r="C48" s="25"/>
      <c r="D48" s="25"/>
      <c r="E48" s="476"/>
      <c r="F48" s="476"/>
      <c r="G48" s="476"/>
      <c r="H48" s="18"/>
      <c r="I48" s="18"/>
      <c r="J48" s="18"/>
      <c r="K48" s="18"/>
      <c r="L48" s="59"/>
      <c r="M48" s="60"/>
      <c r="O48" s="59"/>
      <c r="P48" s="59"/>
      <c r="Q48" s="59"/>
    </row>
    <row r="49" spans="1:17" ht="31.15" hidden="1" customHeight="1" x14ac:dyDescent="0.25">
      <c r="A49" s="26">
        <v>72</v>
      </c>
      <c r="B49" s="27" t="s">
        <v>15</v>
      </c>
      <c r="C49" s="27"/>
      <c r="D49" s="27"/>
      <c r="E49" s="28">
        <f>SUM(E50:E51)</f>
        <v>100000</v>
      </c>
      <c r="F49" s="28">
        <f>SUM(F50:F51)</f>
        <v>100000</v>
      </c>
      <c r="G49" s="29">
        <f>SUM(G50:G51)</f>
        <v>100000</v>
      </c>
      <c r="H49" s="18"/>
      <c r="I49" s="18"/>
      <c r="J49" s="18"/>
      <c r="K49" s="18"/>
      <c r="L49" s="59"/>
      <c r="M49" s="60"/>
      <c r="O49" s="59"/>
      <c r="P49" s="59"/>
      <c r="Q49" s="59"/>
    </row>
    <row r="50" spans="1:17" ht="15.6" hidden="1" customHeight="1" x14ac:dyDescent="0.25">
      <c r="A50" s="30">
        <v>722</v>
      </c>
      <c r="B50" s="31" t="s">
        <v>79</v>
      </c>
      <c r="C50" s="31"/>
      <c r="D50" s="31"/>
      <c r="E50" s="53">
        <v>10000</v>
      </c>
      <c r="F50" s="53">
        <v>10000</v>
      </c>
      <c r="G50" s="54">
        <v>10000</v>
      </c>
      <c r="H50" s="18"/>
      <c r="I50" s="18"/>
      <c r="J50" s="18"/>
      <c r="K50" s="18"/>
      <c r="L50" s="59"/>
      <c r="M50" s="60"/>
      <c r="O50" s="59"/>
      <c r="P50" s="59"/>
      <c r="Q50" s="59"/>
    </row>
    <row r="51" spans="1:17" ht="15.6" hidden="1" customHeight="1" x14ac:dyDescent="0.25">
      <c r="A51" s="34">
        <v>723</v>
      </c>
      <c r="B51" s="35" t="s">
        <v>80</v>
      </c>
      <c r="C51" s="35"/>
      <c r="D51" s="35"/>
      <c r="E51" s="36">
        <v>90000</v>
      </c>
      <c r="F51" s="36">
        <v>90000</v>
      </c>
      <c r="G51" s="37">
        <v>90000</v>
      </c>
      <c r="H51" s="18"/>
      <c r="I51" s="18"/>
      <c r="J51" s="18"/>
      <c r="K51" s="18"/>
      <c r="L51" s="59"/>
      <c r="M51" s="60"/>
      <c r="O51" s="59"/>
      <c r="P51" s="59"/>
      <c r="Q51" s="59"/>
    </row>
    <row r="52" spans="1:17" ht="33" hidden="1" customHeight="1" x14ac:dyDescent="0.25">
      <c r="A52" s="479" t="s">
        <v>81</v>
      </c>
      <c r="B52" s="480"/>
      <c r="C52" s="61"/>
      <c r="D52" s="61"/>
      <c r="E52" s="39">
        <f>SUM(E49)</f>
        <v>100000</v>
      </c>
      <c r="F52" s="39">
        <f>SUM(F49)</f>
        <v>100000</v>
      </c>
      <c r="G52" s="39">
        <f>SUM(G49)</f>
        <v>100000</v>
      </c>
      <c r="H52" s="18"/>
      <c r="I52" s="18"/>
      <c r="J52" s="18"/>
      <c r="K52" s="18"/>
      <c r="L52" s="59"/>
      <c r="M52" s="60"/>
      <c r="O52" s="59"/>
      <c r="P52" s="59"/>
      <c r="Q52" s="59"/>
    </row>
    <row r="53" spans="1:17" s="47" customFormat="1" ht="15.6" hidden="1" customHeight="1" x14ac:dyDescent="0.25"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Q53" s="52"/>
    </row>
    <row r="54" spans="1:17" s="47" customFormat="1" ht="30.75" hidden="1" customHeight="1" x14ac:dyDescent="0.25">
      <c r="A54" s="486" t="s">
        <v>82</v>
      </c>
      <c r="B54" s="487"/>
      <c r="C54" s="66"/>
      <c r="D54" s="66"/>
      <c r="E54" s="67">
        <f>SUM(E10,E19,E28,E37,E44,E52)</f>
        <v>211136750</v>
      </c>
      <c r="F54" s="67">
        <f>SUM(F10,F19,F28,F37,F44,F52)</f>
        <v>161733943</v>
      </c>
      <c r="G54" s="67">
        <f>SUM(G10,G19,G28,G37,G44,G52)</f>
        <v>151036533</v>
      </c>
      <c r="H54" s="41"/>
      <c r="I54" s="41"/>
      <c r="J54" s="41"/>
      <c r="K54" s="41"/>
      <c r="L54" s="41"/>
      <c r="M54" s="41"/>
      <c r="N54" s="41"/>
      <c r="Q54" s="52"/>
    </row>
    <row r="55" spans="1:17" ht="15.6" hidden="1" customHeight="1" x14ac:dyDescent="0.25"/>
    <row r="56" spans="1:17" ht="18.75" hidden="1" customHeight="1" x14ac:dyDescent="0.25">
      <c r="A56" s="478" t="s">
        <v>83</v>
      </c>
      <c r="B56" s="478"/>
      <c r="C56" s="478"/>
      <c r="D56" s="478"/>
      <c r="E56" s="478"/>
      <c r="F56" s="478"/>
      <c r="G56" s="478"/>
      <c r="H56" s="68"/>
      <c r="I56" s="68"/>
      <c r="J56" s="68"/>
      <c r="K56" s="68"/>
      <c r="L56" s="59"/>
      <c r="M56" s="60"/>
      <c r="O56" s="59"/>
      <c r="P56" s="59"/>
      <c r="Q56" s="59"/>
    </row>
    <row r="57" spans="1:17" s="70" customFormat="1" ht="22.5" hidden="1" customHeight="1" x14ac:dyDescent="0.25">
      <c r="A57" s="20" t="s">
        <v>84</v>
      </c>
      <c r="B57" s="69"/>
      <c r="C57" s="69"/>
      <c r="D57" s="69"/>
      <c r="E57" s="69"/>
      <c r="G57" s="52"/>
      <c r="H57" s="71"/>
      <c r="I57" s="71"/>
      <c r="J57" s="71"/>
      <c r="K57" s="71"/>
      <c r="L57" s="71"/>
    </row>
    <row r="58" spans="1:17" s="70" customFormat="1" ht="15.6" hidden="1" customHeight="1" x14ac:dyDescent="0.25">
      <c r="A58" s="488" t="s">
        <v>85</v>
      </c>
      <c r="B58" s="488"/>
      <c r="C58" s="488"/>
      <c r="D58" s="488"/>
      <c r="E58" s="488"/>
      <c r="F58" s="72"/>
    </row>
    <row r="59" spans="1:17" s="47" customFormat="1" ht="15.6" hidden="1" customHeight="1" x14ac:dyDescent="0.25">
      <c r="A59" s="489" t="s">
        <v>86</v>
      </c>
      <c r="B59" s="489"/>
      <c r="C59" s="73"/>
      <c r="D59" s="73"/>
      <c r="E59" s="41"/>
      <c r="F59" s="41"/>
      <c r="G59" s="41"/>
      <c r="H59" s="41"/>
      <c r="I59" s="41"/>
      <c r="J59" s="41"/>
      <c r="K59" s="41"/>
      <c r="L59" s="41"/>
      <c r="M59" s="41"/>
      <c r="N59" s="41"/>
      <c r="Q59" s="52"/>
    </row>
    <row r="60" spans="1:17" s="47" customFormat="1" ht="15.6" hidden="1" customHeight="1" x14ac:dyDescent="0.25">
      <c r="A60" s="74" t="s">
        <v>87</v>
      </c>
      <c r="B60" s="40"/>
      <c r="C60" s="40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Q60" s="52"/>
    </row>
    <row r="61" spans="1:17" s="49" customFormat="1" ht="32.25" hidden="1" customHeight="1" x14ac:dyDescent="0.2">
      <c r="A61" s="471" t="s">
        <v>88</v>
      </c>
      <c r="B61" s="473" t="s">
        <v>52</v>
      </c>
      <c r="C61" s="24"/>
      <c r="D61" s="24"/>
      <c r="E61" s="475" t="s">
        <v>53</v>
      </c>
      <c r="F61" s="475" t="s">
        <v>54</v>
      </c>
      <c r="G61" s="475" t="s">
        <v>0</v>
      </c>
      <c r="H61" s="484"/>
      <c r="I61" s="485"/>
      <c r="J61" s="485"/>
      <c r="K61" s="485"/>
      <c r="L61" s="485"/>
      <c r="M61" s="481"/>
      <c r="N61" s="481"/>
      <c r="O61" s="48" t="s">
        <v>69</v>
      </c>
      <c r="P61" s="48" t="s">
        <v>70</v>
      </c>
    </row>
    <row r="62" spans="1:17" s="49" customFormat="1" ht="15" hidden="1" customHeight="1" x14ac:dyDescent="0.2">
      <c r="A62" s="472"/>
      <c r="B62" s="474"/>
      <c r="C62" s="25"/>
      <c r="D62" s="25"/>
      <c r="E62" s="476"/>
      <c r="F62" s="476"/>
      <c r="G62" s="476"/>
      <c r="H62" s="484"/>
      <c r="I62" s="485"/>
      <c r="J62" s="485"/>
      <c r="K62" s="485"/>
      <c r="L62" s="485"/>
      <c r="M62" s="481"/>
      <c r="N62" s="481"/>
      <c r="O62" s="50"/>
      <c r="P62" s="50"/>
    </row>
    <row r="63" spans="1:17" s="52" customFormat="1" ht="15.75" hidden="1" customHeight="1" x14ac:dyDescent="0.25">
      <c r="A63" s="26">
        <v>32</v>
      </c>
      <c r="B63" s="27" t="s">
        <v>6</v>
      </c>
      <c r="C63" s="27"/>
      <c r="D63" s="27"/>
      <c r="E63" s="28">
        <f>SUM(E64)</f>
        <v>1243113</v>
      </c>
      <c r="F63" s="28">
        <f>SUM(F64:F64)</f>
        <v>1243113</v>
      </c>
      <c r="G63" s="29">
        <f>SUM(G64:G64)</f>
        <v>1243113</v>
      </c>
      <c r="H63" s="41"/>
      <c r="I63" s="41"/>
      <c r="J63" s="41"/>
      <c r="K63" s="41"/>
      <c r="L63" s="41"/>
      <c r="M63" s="41"/>
      <c r="N63" s="41"/>
      <c r="O63" s="52">
        <v>0</v>
      </c>
      <c r="P63" s="52">
        <v>0</v>
      </c>
      <c r="Q63" s="52">
        <f>SUM(F63:K63)</f>
        <v>2486226</v>
      </c>
    </row>
    <row r="64" spans="1:17" ht="18" hidden="1" customHeight="1" x14ac:dyDescent="0.25">
      <c r="A64" s="30">
        <v>323</v>
      </c>
      <c r="B64" s="31" t="s">
        <v>89</v>
      </c>
      <c r="C64" s="31"/>
      <c r="D64" s="31"/>
      <c r="E64" s="53">
        <v>1243113</v>
      </c>
      <c r="F64" s="53">
        <v>1243113</v>
      </c>
      <c r="G64" s="53">
        <v>1243113</v>
      </c>
      <c r="H64" s="55"/>
      <c r="I64" s="55"/>
      <c r="J64" s="55"/>
      <c r="K64" s="55"/>
      <c r="L64" s="55"/>
      <c r="M64" s="55"/>
      <c r="N64" s="55"/>
      <c r="Q64" s="52"/>
    </row>
    <row r="65" spans="1:17" ht="15.6" hidden="1" customHeight="1" x14ac:dyDescent="0.25">
      <c r="A65" s="75">
        <v>41</v>
      </c>
      <c r="B65" s="43" t="s">
        <v>10</v>
      </c>
      <c r="C65" s="43"/>
      <c r="D65" s="43"/>
      <c r="E65" s="44">
        <f>SUM(E66)</f>
        <v>25000</v>
      </c>
      <c r="F65" s="44">
        <f>SUM(F66)</f>
        <v>25000</v>
      </c>
      <c r="G65" s="45">
        <f>SUM(G66)</f>
        <v>25000</v>
      </c>
      <c r="H65" s="41"/>
      <c r="I65" s="41"/>
      <c r="J65" s="41"/>
      <c r="K65" s="41"/>
      <c r="L65" s="41"/>
      <c r="M65" s="41"/>
      <c r="N65" s="41"/>
      <c r="Q65" s="52">
        <f>SUM(F65:K65)</f>
        <v>50000</v>
      </c>
    </row>
    <row r="66" spans="1:17" ht="15.6" hidden="1" customHeight="1" x14ac:dyDescent="0.25">
      <c r="A66" s="76">
        <v>412</v>
      </c>
      <c r="B66" s="31" t="s">
        <v>90</v>
      </c>
      <c r="C66" s="31"/>
      <c r="D66" s="31"/>
      <c r="E66" s="53">
        <v>25000</v>
      </c>
      <c r="F66" s="53">
        <v>25000</v>
      </c>
      <c r="G66" s="53">
        <v>25000</v>
      </c>
      <c r="H66" s="77"/>
      <c r="I66" s="77"/>
      <c r="J66" s="77"/>
      <c r="K66" s="77"/>
      <c r="L66" s="77"/>
      <c r="M66" s="77"/>
      <c r="N66" s="77"/>
      <c r="Q66" s="52"/>
    </row>
    <row r="67" spans="1:17" ht="36" hidden="1" customHeight="1" x14ac:dyDescent="0.25">
      <c r="A67" s="42">
        <v>42</v>
      </c>
      <c r="B67" s="43" t="s">
        <v>11</v>
      </c>
      <c r="C67" s="43"/>
      <c r="D67" s="43"/>
      <c r="E67" s="44">
        <f>SUM(E68:E69)</f>
        <v>2975000</v>
      </c>
      <c r="F67" s="44">
        <f>SUM(F68:F69)</f>
        <v>2975000</v>
      </c>
      <c r="G67" s="44">
        <f>SUM(G68:G69)</f>
        <v>2975000</v>
      </c>
      <c r="H67" s="41"/>
      <c r="I67" s="41"/>
      <c r="J67" s="41"/>
      <c r="K67" s="41"/>
      <c r="L67" s="41"/>
      <c r="M67" s="41"/>
      <c r="N67" s="41"/>
      <c r="Q67" s="52">
        <f>SUM(F67:K67)</f>
        <v>5950000</v>
      </c>
    </row>
    <row r="68" spans="1:17" s="78" customFormat="1" ht="15.6" hidden="1" customHeight="1" x14ac:dyDescent="0.25">
      <c r="A68" s="30">
        <v>421</v>
      </c>
      <c r="B68" s="31" t="s">
        <v>91</v>
      </c>
      <c r="C68" s="31"/>
      <c r="D68" s="31"/>
      <c r="E68" s="53">
        <v>2000000</v>
      </c>
      <c r="F68" s="53">
        <v>2000000</v>
      </c>
      <c r="G68" s="53">
        <v>2000000</v>
      </c>
      <c r="H68" s="55"/>
      <c r="I68" s="55"/>
      <c r="J68" s="55"/>
      <c r="K68" s="55"/>
      <c r="L68" s="55"/>
      <c r="M68" s="55"/>
      <c r="N68" s="55"/>
    </row>
    <row r="69" spans="1:17" s="78" customFormat="1" ht="15.6" hidden="1" customHeight="1" x14ac:dyDescent="0.25">
      <c r="A69" s="34">
        <v>422</v>
      </c>
      <c r="B69" s="35" t="s">
        <v>92</v>
      </c>
      <c r="C69" s="35"/>
      <c r="D69" s="35"/>
      <c r="E69" s="56">
        <v>975000</v>
      </c>
      <c r="F69" s="56">
        <v>975000</v>
      </c>
      <c r="G69" s="56">
        <v>975000</v>
      </c>
      <c r="H69" s="55"/>
      <c r="I69" s="55"/>
      <c r="J69" s="55"/>
      <c r="K69" s="55"/>
      <c r="L69" s="55"/>
      <c r="M69" s="55"/>
      <c r="N69" s="55"/>
    </row>
    <row r="70" spans="1:17" s="47" customFormat="1" ht="15.6" hidden="1" customHeight="1" x14ac:dyDescent="0.25">
      <c r="A70" s="486" t="s">
        <v>93</v>
      </c>
      <c r="B70" s="487"/>
      <c r="C70" s="66"/>
      <c r="D70" s="66"/>
      <c r="E70" s="39">
        <f>SUM(E63,E65,E67)</f>
        <v>4243113</v>
      </c>
      <c r="F70" s="39">
        <f>SUM(F63,F65,F67)</f>
        <v>4243113</v>
      </c>
      <c r="G70" s="39">
        <f>SUM(G63,G65,G67)</f>
        <v>4243113</v>
      </c>
      <c r="H70" s="41"/>
      <c r="I70" s="41"/>
      <c r="J70" s="41"/>
      <c r="K70" s="41"/>
      <c r="L70" s="41"/>
      <c r="M70" s="41"/>
      <c r="N70" s="41"/>
      <c r="O70" s="79" t="e">
        <f>SUM(#REF!,O63,#REF!,O65,O67)</f>
        <v>#REF!</v>
      </c>
      <c r="P70" s="39" t="e">
        <f>SUM(#REF!,P63,#REF!,P65,P67)</f>
        <v>#REF!</v>
      </c>
      <c r="Q70" s="39" t="e">
        <f>SUM(#REF!,Q63,#REF!,Q65,Q67)</f>
        <v>#REF!</v>
      </c>
    </row>
    <row r="71" spans="1:17" s="47" customFormat="1" ht="15.6" hidden="1" customHeight="1" x14ac:dyDescent="0.25">
      <c r="A71" s="40"/>
      <c r="B71" s="40"/>
      <c r="C71" s="40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Q71" s="52"/>
    </row>
    <row r="72" spans="1:17" s="47" customFormat="1" ht="15.6" hidden="1" customHeight="1" x14ac:dyDescent="0.25">
      <c r="A72" s="74" t="s">
        <v>94</v>
      </c>
      <c r="B72" s="40"/>
      <c r="C72" s="40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Q72" s="52"/>
    </row>
    <row r="73" spans="1:17" s="49" customFormat="1" ht="32.25" hidden="1" customHeight="1" x14ac:dyDescent="0.2">
      <c r="A73" s="471" t="s">
        <v>88</v>
      </c>
      <c r="B73" s="473" t="s">
        <v>52</v>
      </c>
      <c r="C73" s="24"/>
      <c r="D73" s="24"/>
      <c r="E73" s="475" t="s">
        <v>53</v>
      </c>
      <c r="F73" s="475" t="s">
        <v>54</v>
      </c>
      <c r="G73" s="475" t="s">
        <v>0</v>
      </c>
      <c r="H73" s="484"/>
      <c r="I73" s="485"/>
      <c r="J73" s="485"/>
      <c r="K73" s="485"/>
      <c r="L73" s="485"/>
      <c r="M73" s="481"/>
      <c r="N73" s="481"/>
      <c r="O73" s="48" t="s">
        <v>69</v>
      </c>
      <c r="P73" s="48" t="s">
        <v>70</v>
      </c>
    </row>
    <row r="74" spans="1:17" s="49" customFormat="1" ht="15" hidden="1" customHeight="1" x14ac:dyDescent="0.2">
      <c r="A74" s="472"/>
      <c r="B74" s="474"/>
      <c r="C74" s="25"/>
      <c r="D74" s="25"/>
      <c r="E74" s="476"/>
      <c r="F74" s="476"/>
      <c r="G74" s="476"/>
      <c r="H74" s="484"/>
      <c r="I74" s="485"/>
      <c r="J74" s="485"/>
      <c r="K74" s="485"/>
      <c r="L74" s="485"/>
      <c r="M74" s="481"/>
      <c r="N74" s="481"/>
      <c r="O74" s="50"/>
      <c r="P74" s="50"/>
    </row>
    <row r="75" spans="1:17" s="52" customFormat="1" ht="14.25" hidden="1" customHeight="1" x14ac:dyDescent="0.25">
      <c r="A75" s="80">
        <v>31</v>
      </c>
      <c r="B75" s="27" t="s">
        <v>5</v>
      </c>
      <c r="C75" s="27"/>
      <c r="D75" s="27"/>
      <c r="E75" s="28">
        <f>SUM(E76:E77)</f>
        <v>1086000</v>
      </c>
      <c r="F75" s="28">
        <f>SUM(F76:F77)</f>
        <v>1086000</v>
      </c>
      <c r="G75" s="29">
        <f>SUM(G76:G77)</f>
        <v>1086000</v>
      </c>
      <c r="H75" s="41"/>
      <c r="I75" s="41"/>
      <c r="J75" s="41"/>
      <c r="K75" s="41"/>
      <c r="L75" s="41"/>
      <c r="M75" s="41"/>
      <c r="N75" s="41"/>
      <c r="O75" s="81">
        <f>SUM(O76:O77)</f>
        <v>0</v>
      </c>
      <c r="P75" s="82">
        <f>SUM(P76:P77)</f>
        <v>0</v>
      </c>
      <c r="Q75" s="52">
        <f>SUM(F75:K75)</f>
        <v>2172000</v>
      </c>
    </row>
    <row r="76" spans="1:17" ht="14.25" hidden="1" customHeight="1" x14ac:dyDescent="0.25">
      <c r="A76" s="76">
        <v>311</v>
      </c>
      <c r="B76" s="31" t="s">
        <v>95</v>
      </c>
      <c r="C76" s="31"/>
      <c r="D76" s="31"/>
      <c r="E76" s="53">
        <v>1000000</v>
      </c>
      <c r="F76" s="83">
        <v>1000000</v>
      </c>
      <c r="G76" s="54">
        <v>1000000</v>
      </c>
      <c r="H76" s="55"/>
      <c r="I76" s="41"/>
      <c r="J76" s="55"/>
      <c r="K76" s="55"/>
      <c r="L76" s="55"/>
      <c r="M76" s="55"/>
      <c r="N76" s="55"/>
      <c r="O76" s="19">
        <v>0</v>
      </c>
      <c r="P76" s="19">
        <v>0</v>
      </c>
      <c r="Q76" s="52"/>
    </row>
    <row r="77" spans="1:17" ht="18.75" hidden="1" customHeight="1" x14ac:dyDescent="0.25">
      <c r="A77" s="30">
        <v>313</v>
      </c>
      <c r="B77" s="31" t="s">
        <v>96</v>
      </c>
      <c r="C77" s="31"/>
      <c r="D77" s="31"/>
      <c r="E77" s="53">
        <v>86000</v>
      </c>
      <c r="F77" s="83">
        <v>86000</v>
      </c>
      <c r="G77" s="54">
        <v>86000</v>
      </c>
      <c r="H77" s="55"/>
      <c r="I77" s="41"/>
      <c r="J77" s="55"/>
      <c r="K77" s="55"/>
      <c r="L77" s="55"/>
      <c r="M77" s="55"/>
      <c r="N77" s="55"/>
      <c r="O77" s="19">
        <v>0</v>
      </c>
      <c r="P77" s="19">
        <v>0</v>
      </c>
      <c r="Q77" s="52"/>
    </row>
    <row r="78" spans="1:17" s="47" customFormat="1" ht="15.75" hidden="1" customHeight="1" x14ac:dyDescent="0.25">
      <c r="A78" s="42">
        <v>38</v>
      </c>
      <c r="B78" s="84" t="s">
        <v>97</v>
      </c>
      <c r="C78" s="84"/>
      <c r="D78" s="84"/>
      <c r="E78" s="44">
        <f>SUM(E79)</f>
        <v>14000</v>
      </c>
      <c r="F78" s="44">
        <f>SUM(F79)</f>
        <v>14000</v>
      </c>
      <c r="G78" s="45">
        <f>SUM(G79)</f>
        <v>14000</v>
      </c>
      <c r="H78" s="41"/>
      <c r="I78" s="41"/>
      <c r="J78" s="41"/>
      <c r="K78" s="41"/>
      <c r="L78" s="41"/>
      <c r="M78" s="41"/>
      <c r="N78" s="41"/>
      <c r="O78" s="47">
        <v>0</v>
      </c>
      <c r="P78" s="47">
        <v>0</v>
      </c>
      <c r="Q78" s="47">
        <f>SUM(F78:K78)</f>
        <v>28000</v>
      </c>
    </row>
    <row r="79" spans="1:17" ht="12.75" hidden="1" customHeight="1" x14ac:dyDescent="0.25">
      <c r="A79" s="30">
        <v>381</v>
      </c>
      <c r="B79" s="31" t="s">
        <v>98</v>
      </c>
      <c r="C79" s="31"/>
      <c r="D79" s="31"/>
      <c r="E79" s="53">
        <v>14000</v>
      </c>
      <c r="F79" s="83">
        <v>14000</v>
      </c>
      <c r="G79" s="85">
        <v>14000</v>
      </c>
      <c r="H79" s="55"/>
      <c r="I79" s="41"/>
      <c r="J79" s="55"/>
      <c r="K79" s="55"/>
      <c r="L79" s="55"/>
      <c r="M79" s="55"/>
      <c r="N79" s="55"/>
      <c r="O79" s="19">
        <v>0</v>
      </c>
      <c r="P79" s="19">
        <v>0</v>
      </c>
      <c r="Q79" s="52"/>
    </row>
    <row r="80" spans="1:17" ht="37.5" hidden="1" customHeight="1" x14ac:dyDescent="0.25">
      <c r="A80" s="42">
        <v>42</v>
      </c>
      <c r="B80" s="43" t="s">
        <v>11</v>
      </c>
      <c r="C80" s="43"/>
      <c r="D80" s="43"/>
      <c r="E80" s="44">
        <f>SUM(E81:E83)</f>
        <v>1500000</v>
      </c>
      <c r="F80" s="44">
        <f>SUM(F81:F83)</f>
        <v>1500000</v>
      </c>
      <c r="G80" s="45">
        <f>SUM(G81:G83)</f>
        <v>1500000</v>
      </c>
      <c r="H80" s="41"/>
      <c r="I80" s="41"/>
      <c r="J80" s="41"/>
      <c r="K80" s="41"/>
      <c r="L80" s="41"/>
      <c r="M80" s="41"/>
      <c r="N80" s="41"/>
      <c r="Q80" s="52">
        <f>SUM(F80:K80)</f>
        <v>3000000</v>
      </c>
    </row>
    <row r="81" spans="1:17" ht="15.6" hidden="1" customHeight="1" x14ac:dyDescent="0.25">
      <c r="A81" s="30">
        <v>422</v>
      </c>
      <c r="B81" s="31" t="s">
        <v>92</v>
      </c>
      <c r="C81" s="31"/>
      <c r="D81" s="31"/>
      <c r="E81" s="53">
        <v>1296000</v>
      </c>
      <c r="F81" s="53">
        <v>1296000</v>
      </c>
      <c r="G81" s="54">
        <v>1296000</v>
      </c>
      <c r="H81" s="55"/>
      <c r="I81" s="41"/>
      <c r="J81" s="55"/>
      <c r="K81" s="55"/>
      <c r="L81" s="55"/>
      <c r="M81" s="55"/>
      <c r="N81" s="55"/>
      <c r="Q81" s="52"/>
    </row>
    <row r="82" spans="1:17" ht="13.5" hidden="1" customHeight="1" x14ac:dyDescent="0.25">
      <c r="A82" s="30">
        <v>424</v>
      </c>
      <c r="B82" s="31" t="s">
        <v>99</v>
      </c>
      <c r="C82" s="31"/>
      <c r="D82" s="31"/>
      <c r="E82" s="53">
        <v>4000</v>
      </c>
      <c r="F82" s="53">
        <v>4000</v>
      </c>
      <c r="G82" s="54">
        <v>4000</v>
      </c>
      <c r="H82" s="55"/>
      <c r="I82" s="41"/>
      <c r="J82" s="55"/>
      <c r="K82" s="55"/>
      <c r="L82" s="55"/>
      <c r="M82" s="55"/>
      <c r="N82" s="55"/>
      <c r="Q82" s="52"/>
    </row>
    <row r="83" spans="1:17" ht="15.6" hidden="1" customHeight="1" x14ac:dyDescent="0.25">
      <c r="A83" s="34">
        <v>426</v>
      </c>
      <c r="B83" s="35" t="s">
        <v>100</v>
      </c>
      <c r="C83" s="35"/>
      <c r="D83" s="35"/>
      <c r="E83" s="56">
        <v>200000</v>
      </c>
      <c r="F83" s="56">
        <v>200000</v>
      </c>
      <c r="G83" s="57">
        <v>200000</v>
      </c>
      <c r="H83" s="55"/>
      <c r="I83" s="41"/>
      <c r="J83" s="55"/>
      <c r="K83" s="55"/>
      <c r="L83" s="55"/>
      <c r="M83" s="55"/>
      <c r="N83" s="55"/>
      <c r="Q83" s="52"/>
    </row>
    <row r="84" spans="1:17" s="47" customFormat="1" ht="15.6" hidden="1" customHeight="1" x14ac:dyDescent="0.25">
      <c r="A84" s="486" t="s">
        <v>93</v>
      </c>
      <c r="B84" s="487"/>
      <c r="C84" s="66"/>
      <c r="D84" s="66"/>
      <c r="E84" s="39">
        <f>SUM(E75,E78,E80)</f>
        <v>2600000</v>
      </c>
      <c r="F84" s="39">
        <f>SUM(F75,F78,F80)</f>
        <v>2600000</v>
      </c>
      <c r="G84" s="39">
        <f>SUM(G75,G78,G80)</f>
        <v>2600000</v>
      </c>
      <c r="H84" s="41"/>
      <c r="I84" s="41"/>
      <c r="J84" s="41"/>
      <c r="K84" s="41"/>
      <c r="L84" s="41"/>
      <c r="M84" s="41"/>
      <c r="N84" s="41"/>
      <c r="O84" s="79" t="e">
        <f>SUM(O75,O78,#REF!,#REF!,O80)</f>
        <v>#REF!</v>
      </c>
      <c r="P84" s="39" t="e">
        <f>SUM(P75,P78,#REF!,#REF!,P80)</f>
        <v>#REF!</v>
      </c>
      <c r="Q84" s="39" t="e">
        <f>SUM(Q75,Q78,#REF!,#REF!,Q80)</f>
        <v>#REF!</v>
      </c>
    </row>
    <row r="85" spans="1:17" s="47" customFormat="1" ht="15.6" hidden="1" customHeight="1" x14ac:dyDescent="0.25">
      <c r="A85" s="40"/>
      <c r="B85" s="40"/>
      <c r="C85" s="40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Q85" s="52"/>
    </row>
    <row r="86" spans="1:17" s="47" customFormat="1" ht="15.6" hidden="1" customHeight="1" x14ac:dyDescent="0.25">
      <c r="A86" s="47" t="s">
        <v>63</v>
      </c>
      <c r="B86" s="40"/>
      <c r="C86" s="40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Q86" s="52"/>
    </row>
    <row r="87" spans="1:17" s="49" customFormat="1" ht="32.25" hidden="1" customHeight="1" x14ac:dyDescent="0.2">
      <c r="A87" s="471" t="s">
        <v>88</v>
      </c>
      <c r="B87" s="473" t="s">
        <v>52</v>
      </c>
      <c r="C87" s="24"/>
      <c r="D87" s="24"/>
      <c r="E87" s="475" t="s">
        <v>53</v>
      </c>
      <c r="F87" s="475" t="s">
        <v>54</v>
      </c>
      <c r="G87" s="475" t="s">
        <v>0</v>
      </c>
      <c r="H87" s="484"/>
      <c r="I87" s="485"/>
      <c r="J87" s="485"/>
      <c r="K87" s="485"/>
      <c r="L87" s="485"/>
      <c r="M87" s="481"/>
      <c r="N87" s="481"/>
      <c r="O87" s="48" t="s">
        <v>69</v>
      </c>
      <c r="P87" s="48" t="s">
        <v>70</v>
      </c>
    </row>
    <row r="88" spans="1:17" s="49" customFormat="1" ht="15" hidden="1" customHeight="1" x14ac:dyDescent="0.2">
      <c r="A88" s="472"/>
      <c r="B88" s="474"/>
      <c r="C88" s="25"/>
      <c r="D88" s="25"/>
      <c r="E88" s="476"/>
      <c r="F88" s="476"/>
      <c r="G88" s="476"/>
      <c r="H88" s="484"/>
      <c r="I88" s="485"/>
      <c r="J88" s="485"/>
      <c r="K88" s="485"/>
      <c r="L88" s="485"/>
      <c r="M88" s="481"/>
      <c r="N88" s="481"/>
      <c r="O88" s="50"/>
      <c r="P88" s="50"/>
    </row>
    <row r="89" spans="1:17" s="52" customFormat="1" ht="14.25" hidden="1" customHeight="1" x14ac:dyDescent="0.25">
      <c r="A89" s="80">
        <v>31</v>
      </c>
      <c r="B89" s="27" t="s">
        <v>5</v>
      </c>
      <c r="C89" s="27"/>
      <c r="D89" s="27"/>
      <c r="E89" s="28">
        <f>SUM(E90:E92)</f>
        <v>93562200</v>
      </c>
      <c r="F89" s="28">
        <f>SUM(F90:F92)</f>
        <v>93562200</v>
      </c>
      <c r="G89" s="29">
        <f>SUM(G90:G92)</f>
        <v>93562200</v>
      </c>
      <c r="H89" s="41"/>
      <c r="I89" s="41"/>
      <c r="J89" s="41"/>
      <c r="K89" s="41"/>
      <c r="L89" s="41"/>
      <c r="M89" s="41"/>
      <c r="N89" s="41"/>
      <c r="O89" s="81">
        <f>SUM(O90:O92)</f>
        <v>0</v>
      </c>
      <c r="P89" s="82">
        <f>SUM(P90:P92)</f>
        <v>0</v>
      </c>
      <c r="Q89" s="52">
        <f>SUM(F89:K89)</f>
        <v>187124400</v>
      </c>
    </row>
    <row r="90" spans="1:17" ht="14.25" hidden="1" customHeight="1" x14ac:dyDescent="0.25">
      <c r="A90" s="76">
        <v>311</v>
      </c>
      <c r="B90" s="31" t="s">
        <v>95</v>
      </c>
      <c r="C90" s="31"/>
      <c r="D90" s="31"/>
      <c r="E90" s="53">
        <v>78040000</v>
      </c>
      <c r="F90" s="83">
        <v>78040000</v>
      </c>
      <c r="G90" s="54">
        <v>78040000</v>
      </c>
      <c r="H90" s="55"/>
      <c r="I90" s="55"/>
      <c r="J90" s="55"/>
      <c r="K90" s="55"/>
      <c r="L90" s="55"/>
      <c r="M90" s="55"/>
      <c r="N90" s="55"/>
      <c r="O90" s="19">
        <v>0</v>
      </c>
      <c r="P90" s="19">
        <v>0</v>
      </c>
      <c r="Q90" s="52"/>
    </row>
    <row r="91" spans="1:17" ht="14.25" hidden="1" customHeight="1" x14ac:dyDescent="0.25">
      <c r="A91" s="30">
        <v>312</v>
      </c>
      <c r="B91" s="31" t="s">
        <v>101</v>
      </c>
      <c r="C91" s="31"/>
      <c r="D91" s="31"/>
      <c r="E91" s="53">
        <v>2356200</v>
      </c>
      <c r="F91" s="83">
        <v>2356200</v>
      </c>
      <c r="G91" s="54">
        <v>2356200</v>
      </c>
      <c r="H91" s="55"/>
      <c r="I91" s="55"/>
      <c r="J91" s="55"/>
      <c r="K91" s="55"/>
      <c r="L91" s="55"/>
      <c r="M91" s="55"/>
      <c r="N91" s="55"/>
      <c r="O91" s="19">
        <v>0</v>
      </c>
      <c r="P91" s="19">
        <v>0</v>
      </c>
      <c r="Q91" s="52"/>
    </row>
    <row r="92" spans="1:17" ht="18.75" hidden="1" customHeight="1" x14ac:dyDescent="0.25">
      <c r="A92" s="30">
        <v>313</v>
      </c>
      <c r="B92" s="31" t="s">
        <v>96</v>
      </c>
      <c r="C92" s="31"/>
      <c r="D92" s="31"/>
      <c r="E92" s="53">
        <v>13166000</v>
      </c>
      <c r="F92" s="83">
        <v>13166000</v>
      </c>
      <c r="G92" s="54">
        <v>13166000</v>
      </c>
      <c r="H92" s="55"/>
      <c r="I92" s="55"/>
      <c r="J92" s="55"/>
      <c r="K92" s="55"/>
      <c r="L92" s="55"/>
      <c r="M92" s="55"/>
      <c r="N92" s="55"/>
      <c r="O92" s="19">
        <v>0</v>
      </c>
      <c r="P92" s="19">
        <v>0</v>
      </c>
      <c r="Q92" s="52"/>
    </row>
    <row r="93" spans="1:17" s="52" customFormat="1" ht="15.75" hidden="1" customHeight="1" x14ac:dyDescent="0.25">
      <c r="A93" s="42">
        <v>32</v>
      </c>
      <c r="B93" s="43" t="s">
        <v>6</v>
      </c>
      <c r="C93" s="43"/>
      <c r="D93" s="43"/>
      <c r="E93" s="44">
        <f>SUM(E94:E97)</f>
        <v>39696515</v>
      </c>
      <c r="F93" s="44">
        <f>SUM(F94:F97)</f>
        <v>38921220</v>
      </c>
      <c r="G93" s="45">
        <f>SUM(G94:G97)</f>
        <v>38911220</v>
      </c>
      <c r="H93" s="41"/>
      <c r="I93" s="41"/>
      <c r="J93" s="41"/>
      <c r="K93" s="41"/>
      <c r="L93" s="41"/>
      <c r="M93" s="41"/>
      <c r="N93" s="41"/>
      <c r="O93" s="52">
        <v>0</v>
      </c>
      <c r="P93" s="52">
        <v>0</v>
      </c>
      <c r="Q93" s="52">
        <f>SUM(F93:K93)</f>
        <v>77832440</v>
      </c>
    </row>
    <row r="94" spans="1:17" ht="21" hidden="1" customHeight="1" x14ac:dyDescent="0.25">
      <c r="A94" s="30">
        <v>321</v>
      </c>
      <c r="B94" s="31" t="s">
        <v>102</v>
      </c>
      <c r="C94" s="31"/>
      <c r="D94" s="31"/>
      <c r="E94" s="53">
        <v>2634538</v>
      </c>
      <c r="F94" s="83">
        <v>2634538</v>
      </c>
      <c r="G94" s="33">
        <v>2634538</v>
      </c>
      <c r="H94" s="55"/>
      <c r="I94" s="55"/>
      <c r="J94" s="55"/>
      <c r="K94" s="55"/>
      <c r="L94" s="55"/>
      <c r="M94" s="55"/>
      <c r="N94" s="55"/>
      <c r="O94" s="19">
        <v>0</v>
      </c>
      <c r="P94" s="19">
        <v>0</v>
      </c>
      <c r="Q94" s="52"/>
    </row>
    <row r="95" spans="1:17" ht="14.25" hidden="1" customHeight="1" x14ac:dyDescent="0.25">
      <c r="A95" s="30">
        <v>322</v>
      </c>
      <c r="B95" s="31" t="s">
        <v>103</v>
      </c>
      <c r="C95" s="31"/>
      <c r="D95" s="31"/>
      <c r="E95" s="53">
        <f>32727000-1326966</f>
        <v>31400034</v>
      </c>
      <c r="F95" s="53">
        <f>32727000-1327265</f>
        <v>31399735</v>
      </c>
      <c r="G95" s="33">
        <f>32727000-1316965</f>
        <v>31410035</v>
      </c>
      <c r="H95" s="55"/>
      <c r="I95" s="55"/>
      <c r="J95" s="55"/>
      <c r="K95" s="55"/>
      <c r="L95" s="55"/>
      <c r="M95" s="55"/>
      <c r="N95" s="55"/>
      <c r="O95" s="19">
        <v>0</v>
      </c>
      <c r="P95" s="19">
        <v>0</v>
      </c>
      <c r="Q95" s="52"/>
    </row>
    <row r="96" spans="1:17" ht="18" hidden="1" customHeight="1" x14ac:dyDescent="0.25">
      <c r="A96" s="30">
        <v>323</v>
      </c>
      <c r="B96" s="31" t="s">
        <v>89</v>
      </c>
      <c r="C96" s="31"/>
      <c r="D96" s="31"/>
      <c r="E96" s="53">
        <f>5336877-76559</f>
        <v>5260318</v>
      </c>
      <c r="F96" s="53">
        <f>5336877-851555</f>
        <v>4485322</v>
      </c>
      <c r="G96" s="33">
        <f>5336877-871855</f>
        <v>4465022</v>
      </c>
      <c r="H96" s="55"/>
      <c r="I96" s="55"/>
      <c r="J96" s="55"/>
      <c r="K96" s="55"/>
      <c r="L96" s="55"/>
      <c r="M96" s="55"/>
      <c r="N96" s="55"/>
      <c r="Q96" s="52"/>
    </row>
    <row r="97" spans="1:17" ht="15.6" hidden="1" customHeight="1" x14ac:dyDescent="0.25">
      <c r="A97" s="30">
        <v>329</v>
      </c>
      <c r="B97" s="31" t="s">
        <v>104</v>
      </c>
      <c r="C97" s="31"/>
      <c r="D97" s="31"/>
      <c r="E97" s="53">
        <v>401625</v>
      </c>
      <c r="F97" s="53">
        <v>401625</v>
      </c>
      <c r="G97" s="33">
        <v>401625</v>
      </c>
      <c r="H97" s="55"/>
      <c r="I97" s="55"/>
      <c r="J97" s="55"/>
      <c r="K97" s="55"/>
      <c r="L97" s="55"/>
      <c r="M97" s="55"/>
      <c r="N97" s="55"/>
      <c r="Q97" s="52"/>
    </row>
    <row r="98" spans="1:17" s="52" customFormat="1" ht="15.6" hidden="1" customHeight="1" x14ac:dyDescent="0.25">
      <c r="A98" s="42">
        <v>34</v>
      </c>
      <c r="B98" s="43" t="s">
        <v>9</v>
      </c>
      <c r="C98" s="43"/>
      <c r="D98" s="43"/>
      <c r="E98" s="44">
        <f>SUM(E99:E100)</f>
        <v>500000</v>
      </c>
      <c r="F98" s="44">
        <f>SUM(F99:F100)</f>
        <v>500000</v>
      </c>
      <c r="G98" s="45">
        <f>SUM(G99:G100)</f>
        <v>500000</v>
      </c>
      <c r="H98" s="41"/>
      <c r="I98" s="41"/>
      <c r="J98" s="41"/>
      <c r="K98" s="41"/>
      <c r="L98" s="41"/>
      <c r="M98" s="41"/>
      <c r="N98" s="41"/>
      <c r="Q98" s="52">
        <f>SUM(F98:K98)</f>
        <v>1000000</v>
      </c>
    </row>
    <row r="99" spans="1:17" ht="15.6" hidden="1" customHeight="1" x14ac:dyDescent="0.25">
      <c r="A99" s="30">
        <v>342</v>
      </c>
      <c r="B99" s="31" t="s">
        <v>105</v>
      </c>
      <c r="C99" s="31"/>
      <c r="D99" s="31"/>
      <c r="E99" s="53">
        <v>100000</v>
      </c>
      <c r="F99" s="53">
        <v>100000</v>
      </c>
      <c r="G99" s="54">
        <v>100000</v>
      </c>
      <c r="H99" s="55"/>
      <c r="I99" s="55"/>
      <c r="J99" s="55"/>
      <c r="K99" s="55"/>
      <c r="L99" s="55"/>
      <c r="M99" s="55"/>
      <c r="N99" s="55"/>
    </row>
    <row r="100" spans="1:17" ht="15.6" hidden="1" customHeight="1" x14ac:dyDescent="0.25">
      <c r="A100" s="30">
        <v>343</v>
      </c>
      <c r="B100" s="31" t="s">
        <v>106</v>
      </c>
      <c r="C100" s="31"/>
      <c r="D100" s="31"/>
      <c r="E100" s="53">
        <v>400000</v>
      </c>
      <c r="F100" s="53">
        <v>400000</v>
      </c>
      <c r="G100" s="33">
        <v>400000</v>
      </c>
      <c r="H100" s="55"/>
      <c r="I100" s="55"/>
      <c r="J100" s="55"/>
      <c r="K100" s="55"/>
      <c r="L100" s="55"/>
      <c r="M100" s="55"/>
      <c r="N100" s="55"/>
      <c r="Q100" s="52"/>
    </row>
    <row r="101" spans="1:17" s="52" customFormat="1" ht="31.15" hidden="1" customHeight="1" x14ac:dyDescent="0.25">
      <c r="A101" s="42">
        <v>37</v>
      </c>
      <c r="B101" s="43" t="s">
        <v>107</v>
      </c>
      <c r="C101" s="43"/>
      <c r="D101" s="43"/>
      <c r="E101" s="44">
        <f>SUM(E102)</f>
        <v>120000</v>
      </c>
      <c r="F101" s="44">
        <f>SUM(F102)</f>
        <v>120000</v>
      </c>
      <c r="G101" s="45">
        <f>SUM(G102)</f>
        <v>120000</v>
      </c>
      <c r="H101" s="41"/>
      <c r="I101" s="41"/>
      <c r="J101" s="41"/>
      <c r="K101" s="41"/>
      <c r="L101" s="41"/>
      <c r="M101" s="41"/>
      <c r="N101" s="41"/>
    </row>
    <row r="102" spans="1:17" ht="31.15" hidden="1" customHeight="1" x14ac:dyDescent="0.25">
      <c r="A102" s="34">
        <v>372</v>
      </c>
      <c r="B102" s="35" t="s">
        <v>108</v>
      </c>
      <c r="C102" s="35"/>
      <c r="D102" s="35"/>
      <c r="E102" s="56">
        <v>120000</v>
      </c>
      <c r="F102" s="56">
        <v>120000</v>
      </c>
      <c r="G102" s="37">
        <v>120000</v>
      </c>
      <c r="H102" s="55"/>
      <c r="I102" s="55"/>
      <c r="J102" s="55"/>
      <c r="K102" s="55"/>
      <c r="L102" s="55"/>
      <c r="M102" s="55"/>
      <c r="N102" s="55"/>
      <c r="Q102" s="52"/>
    </row>
    <row r="103" spans="1:17" s="47" customFormat="1" ht="15.75" hidden="1" customHeight="1" x14ac:dyDescent="0.25">
      <c r="A103" s="486" t="s">
        <v>93</v>
      </c>
      <c r="B103" s="487"/>
      <c r="C103" s="66"/>
      <c r="D103" s="66"/>
      <c r="E103" s="39">
        <f>SUM(E89,E93,E98,E101)</f>
        <v>133878715</v>
      </c>
      <c r="F103" s="39">
        <f>SUM(F89,F93,F98,F101)</f>
        <v>133103420</v>
      </c>
      <c r="G103" s="39">
        <f>SUM(G89,G93,G98,G101)</f>
        <v>133093420</v>
      </c>
      <c r="H103" s="41"/>
      <c r="I103" s="41"/>
      <c r="J103" s="41"/>
      <c r="K103" s="41"/>
      <c r="L103" s="41"/>
      <c r="M103" s="41"/>
      <c r="N103" s="41"/>
      <c r="O103" s="79" t="e">
        <f>SUM(O89,O93,O98,#REF!,#REF!)</f>
        <v>#REF!</v>
      </c>
      <c r="P103" s="39" t="e">
        <f>SUM(P89,P93,P98,#REF!,#REF!)</f>
        <v>#REF!</v>
      </c>
      <c r="Q103" s="39" t="e">
        <f>SUM(Q89,Q93,Q98,#REF!,#REF!)</f>
        <v>#REF!</v>
      </c>
    </row>
    <row r="104" spans="1:17" s="47" customFormat="1" ht="15.6" hidden="1" customHeight="1" x14ac:dyDescent="0.25">
      <c r="A104" s="40"/>
      <c r="B104" s="40"/>
      <c r="C104" s="40"/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Q104" s="52"/>
    </row>
    <row r="105" spans="1:17" s="47" customFormat="1" ht="15.6" hidden="1" customHeight="1" x14ac:dyDescent="0.25">
      <c r="A105" s="47" t="s">
        <v>109</v>
      </c>
      <c r="B105" s="40"/>
      <c r="C105" s="40"/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Q105" s="52"/>
    </row>
    <row r="106" spans="1:17" s="49" customFormat="1" ht="32.25" hidden="1" customHeight="1" x14ac:dyDescent="0.2">
      <c r="A106" s="471" t="s">
        <v>88</v>
      </c>
      <c r="B106" s="473" t="s">
        <v>52</v>
      </c>
      <c r="C106" s="24"/>
      <c r="D106" s="24"/>
      <c r="E106" s="475" t="s">
        <v>53</v>
      </c>
      <c r="F106" s="475" t="s">
        <v>54</v>
      </c>
      <c r="G106" s="475" t="s">
        <v>0</v>
      </c>
      <c r="H106" s="484"/>
      <c r="I106" s="485"/>
      <c r="J106" s="485"/>
      <c r="K106" s="485"/>
      <c r="L106" s="485"/>
      <c r="M106" s="481"/>
      <c r="N106" s="481"/>
      <c r="O106" s="48" t="s">
        <v>69</v>
      </c>
      <c r="P106" s="48" t="s">
        <v>70</v>
      </c>
    </row>
    <row r="107" spans="1:17" s="49" customFormat="1" ht="15" hidden="1" customHeight="1" x14ac:dyDescent="0.2">
      <c r="A107" s="472"/>
      <c r="B107" s="474"/>
      <c r="C107" s="25"/>
      <c r="D107" s="25"/>
      <c r="E107" s="476"/>
      <c r="F107" s="476"/>
      <c r="G107" s="476"/>
      <c r="H107" s="484"/>
      <c r="I107" s="485"/>
      <c r="J107" s="485"/>
      <c r="K107" s="485"/>
      <c r="L107" s="485"/>
      <c r="M107" s="481"/>
      <c r="N107" s="481"/>
      <c r="O107" s="50"/>
      <c r="P107" s="50"/>
    </row>
    <row r="108" spans="1:17" s="52" customFormat="1" ht="15.75" hidden="1" customHeight="1" x14ac:dyDescent="0.25">
      <c r="A108" s="26">
        <v>32</v>
      </c>
      <c r="B108" s="27" t="s">
        <v>6</v>
      </c>
      <c r="C108" s="27"/>
      <c r="D108" s="27"/>
      <c r="E108" s="28">
        <f>SUM(E109:E110)</f>
        <v>719740</v>
      </c>
      <c r="F108" s="28">
        <f>SUM(F109:F110)</f>
        <v>650000</v>
      </c>
      <c r="G108" s="29">
        <f>SUM(G109:G110)</f>
        <v>650000</v>
      </c>
      <c r="H108" s="41"/>
      <c r="I108" s="41"/>
      <c r="J108" s="41"/>
      <c r="K108" s="41"/>
      <c r="L108" s="41"/>
      <c r="M108" s="41"/>
      <c r="N108" s="41"/>
      <c r="O108" s="52">
        <v>0</v>
      </c>
      <c r="P108" s="52">
        <v>0</v>
      </c>
      <c r="Q108" s="52">
        <f>SUM(F108:K108)</f>
        <v>1300000</v>
      </c>
    </row>
    <row r="109" spans="1:17" ht="14.25" hidden="1" customHeight="1" x14ac:dyDescent="0.25">
      <c r="A109" s="30">
        <v>321</v>
      </c>
      <c r="B109" s="31" t="s">
        <v>102</v>
      </c>
      <c r="C109" s="31"/>
      <c r="D109" s="31"/>
      <c r="E109" s="53">
        <v>52940</v>
      </c>
      <c r="F109" s="83">
        <v>50000</v>
      </c>
      <c r="G109" s="85">
        <v>50000</v>
      </c>
      <c r="H109" s="55"/>
      <c r="I109" s="55"/>
      <c r="J109" s="55"/>
      <c r="K109" s="55"/>
      <c r="L109" s="55"/>
      <c r="M109" s="55"/>
      <c r="N109" s="55"/>
      <c r="O109" s="19">
        <v>0</v>
      </c>
      <c r="P109" s="19">
        <v>0</v>
      </c>
      <c r="Q109" s="52"/>
    </row>
    <row r="110" spans="1:17" ht="14.25" hidden="1" customHeight="1" x14ac:dyDescent="0.25">
      <c r="A110" s="30">
        <v>322</v>
      </c>
      <c r="B110" s="31" t="s">
        <v>103</v>
      </c>
      <c r="C110" s="31"/>
      <c r="D110" s="31"/>
      <c r="E110" s="53">
        <f>690240-23440</f>
        <v>666800</v>
      </c>
      <c r="F110" s="53">
        <v>600000</v>
      </c>
      <c r="G110" s="85">
        <v>600000</v>
      </c>
      <c r="H110" s="55"/>
      <c r="I110" s="55"/>
      <c r="J110" s="55"/>
      <c r="K110" s="55"/>
      <c r="L110" s="55"/>
      <c r="M110" s="55"/>
      <c r="N110" s="55"/>
      <c r="O110" s="19">
        <v>0</v>
      </c>
      <c r="P110" s="19">
        <v>0</v>
      </c>
      <c r="Q110" s="52"/>
    </row>
    <row r="111" spans="1:17" ht="15" hidden="1" customHeight="1" x14ac:dyDescent="0.25">
      <c r="A111" s="42">
        <v>42</v>
      </c>
      <c r="B111" s="43" t="s">
        <v>11</v>
      </c>
      <c r="C111" s="43"/>
      <c r="D111" s="43"/>
      <c r="E111" s="44">
        <f>SUM(E112:E113)</f>
        <v>421000</v>
      </c>
      <c r="F111" s="44">
        <f>SUM(F112:F113)</f>
        <v>350000</v>
      </c>
      <c r="G111" s="45">
        <f>SUM(G112:G113)</f>
        <v>350000</v>
      </c>
      <c r="H111" s="41"/>
      <c r="I111" s="41"/>
      <c r="J111" s="41"/>
      <c r="K111" s="41"/>
      <c r="L111" s="41"/>
      <c r="M111" s="41"/>
      <c r="N111" s="41"/>
      <c r="Q111" s="52">
        <f>SUM(F111:K111)</f>
        <v>700000</v>
      </c>
    </row>
    <row r="112" spans="1:17" ht="15.6" hidden="1" customHeight="1" x14ac:dyDescent="0.25">
      <c r="A112" s="30">
        <v>422</v>
      </c>
      <c r="B112" s="31" t="s">
        <v>92</v>
      </c>
      <c r="C112" s="31"/>
      <c r="D112" s="31"/>
      <c r="E112" s="53">
        <v>420000</v>
      </c>
      <c r="F112" s="53">
        <v>350000</v>
      </c>
      <c r="G112" s="54">
        <v>350000</v>
      </c>
      <c r="H112" s="55"/>
      <c r="I112" s="55"/>
      <c r="J112" s="55"/>
      <c r="K112" s="55"/>
      <c r="L112" s="55"/>
      <c r="M112" s="55"/>
      <c r="N112" s="55"/>
      <c r="Q112" s="52"/>
    </row>
    <row r="113" spans="1:17" ht="31.15" hidden="1" customHeight="1" x14ac:dyDescent="0.25">
      <c r="A113" s="34">
        <v>424</v>
      </c>
      <c r="B113" s="35" t="s">
        <v>99</v>
      </c>
      <c r="C113" s="35"/>
      <c r="D113" s="35"/>
      <c r="E113" s="56">
        <v>1000</v>
      </c>
      <c r="F113" s="56"/>
      <c r="G113" s="57"/>
      <c r="H113" s="55"/>
      <c r="I113" s="55"/>
      <c r="J113" s="55"/>
      <c r="K113" s="55"/>
      <c r="L113" s="55"/>
      <c r="M113" s="55"/>
      <c r="N113" s="55"/>
    </row>
    <row r="114" spans="1:17" s="47" customFormat="1" ht="15.6" hidden="1" customHeight="1" x14ac:dyDescent="0.25">
      <c r="A114" s="486" t="s">
        <v>93</v>
      </c>
      <c r="B114" s="487"/>
      <c r="C114" s="66"/>
      <c r="D114" s="66"/>
      <c r="E114" s="39">
        <f>SUM(E108,E111)</f>
        <v>1140740</v>
      </c>
      <c r="F114" s="39">
        <f>SUM(F108,F111)</f>
        <v>1000000</v>
      </c>
      <c r="G114" s="39">
        <f>SUM(G108,G111)</f>
        <v>1000000</v>
      </c>
      <c r="H114" s="41"/>
      <c r="I114" s="41"/>
      <c r="J114" s="41"/>
      <c r="K114" s="41"/>
      <c r="L114" s="41"/>
      <c r="M114" s="41"/>
      <c r="N114" s="41"/>
      <c r="O114" s="79" t="e">
        <f>SUM(#REF!,O108,#REF!,#REF!,O111)</f>
        <v>#REF!</v>
      </c>
      <c r="P114" s="39" t="e">
        <f>SUM(#REF!,P108,#REF!,#REF!,P111)</f>
        <v>#REF!</v>
      </c>
      <c r="Q114" s="39" t="e">
        <f>SUM(#REF!,Q108,#REF!,#REF!,Q111)</f>
        <v>#REF!</v>
      </c>
    </row>
    <row r="115" spans="1:17" ht="27.75" hidden="1" customHeight="1" x14ac:dyDescent="0.25">
      <c r="A115" s="86">
        <v>3212</v>
      </c>
      <c r="B115" s="87" t="s">
        <v>110</v>
      </c>
      <c r="C115" s="87"/>
      <c r="D115" s="87"/>
      <c r="E115" s="88">
        <f>SUM(F115:L115)</f>
        <v>0</v>
      </c>
      <c r="F115" s="83"/>
      <c r="G115" s="83"/>
      <c r="H115" s="89"/>
      <c r="I115" s="89"/>
      <c r="J115" s="89"/>
      <c r="K115" s="89"/>
      <c r="L115" s="89"/>
      <c r="M115" s="89"/>
      <c r="N115" s="90"/>
      <c r="O115" s="19">
        <v>0</v>
      </c>
      <c r="P115" s="19">
        <v>0</v>
      </c>
    </row>
    <row r="116" spans="1:17" ht="14.25" hidden="1" customHeight="1" x14ac:dyDescent="0.25">
      <c r="A116" s="86">
        <v>3213</v>
      </c>
      <c r="B116" s="87" t="s">
        <v>111</v>
      </c>
      <c r="C116" s="87"/>
      <c r="D116" s="87"/>
      <c r="E116" s="88">
        <f>SUM(F116:L116)</f>
        <v>0</v>
      </c>
      <c r="F116" s="83"/>
      <c r="G116" s="83"/>
      <c r="H116" s="83"/>
      <c r="I116" s="83"/>
      <c r="J116" s="83"/>
      <c r="K116" s="83"/>
      <c r="L116" s="83"/>
      <c r="M116" s="83"/>
      <c r="N116" s="91"/>
      <c r="O116" s="19">
        <v>0</v>
      </c>
      <c r="P116" s="19">
        <v>0</v>
      </c>
    </row>
    <row r="117" spans="1:17" ht="14.25" hidden="1" customHeight="1" x14ac:dyDescent="0.25">
      <c r="A117" s="42">
        <v>322</v>
      </c>
      <c r="B117" s="43" t="s">
        <v>103</v>
      </c>
      <c r="C117" s="43"/>
      <c r="D117" s="43"/>
      <c r="E117" s="92">
        <f>SUM(F117:L117)</f>
        <v>0</v>
      </c>
      <c r="F117" s="44">
        <f>SUM(F118)</f>
        <v>0</v>
      </c>
      <c r="G117" s="44">
        <f t="shared" ref="G117:N117" si="0">SUM(G118)</f>
        <v>0</v>
      </c>
      <c r="H117" s="44">
        <f>SUM(H118)</f>
        <v>0</v>
      </c>
      <c r="I117" s="44">
        <f t="shared" si="0"/>
        <v>0</v>
      </c>
      <c r="J117" s="44">
        <f t="shared" si="0"/>
        <v>0</v>
      </c>
      <c r="K117" s="44">
        <f t="shared" si="0"/>
        <v>0</v>
      </c>
      <c r="L117" s="44">
        <f t="shared" si="0"/>
        <v>0</v>
      </c>
      <c r="M117" s="44">
        <f t="shared" si="0"/>
        <v>0</v>
      </c>
      <c r="N117" s="45">
        <f t="shared" si="0"/>
        <v>0</v>
      </c>
      <c r="O117" s="19">
        <v>0</v>
      </c>
      <c r="P117" s="19">
        <v>0</v>
      </c>
    </row>
    <row r="118" spans="1:17" ht="14.25" hidden="1" customHeight="1" x14ac:dyDescent="0.25">
      <c r="A118" s="93">
        <v>3225</v>
      </c>
      <c r="B118" s="94" t="s">
        <v>112</v>
      </c>
      <c r="C118" s="94"/>
      <c r="D118" s="94"/>
      <c r="E118" s="95">
        <f>SUM(F118:L118)</f>
        <v>0</v>
      </c>
      <c r="F118" s="96"/>
      <c r="G118" s="97"/>
      <c r="H118" s="96"/>
      <c r="I118" s="97"/>
      <c r="J118" s="97"/>
      <c r="K118" s="97"/>
      <c r="L118" s="97"/>
      <c r="M118" s="96"/>
      <c r="N118" s="98"/>
      <c r="O118" s="19">
        <v>0</v>
      </c>
      <c r="P118" s="19">
        <v>0</v>
      </c>
    </row>
    <row r="119" spans="1:17" s="47" customFormat="1" ht="15" hidden="1" customHeight="1" x14ac:dyDescent="0.25">
      <c r="A119" s="486" t="s">
        <v>93</v>
      </c>
      <c r="B119" s="487"/>
      <c r="C119" s="66"/>
      <c r="D119" s="66"/>
      <c r="E119" s="67">
        <f>SUM(E113)</f>
        <v>1000</v>
      </c>
      <c r="F119" s="67">
        <f>SUM(F113)</f>
        <v>0</v>
      </c>
      <c r="G119" s="67">
        <f t="shared" ref="G119:N119" si="1">SUM(G113)</f>
        <v>0</v>
      </c>
      <c r="H119" s="67">
        <f>SUM(H113)</f>
        <v>0</v>
      </c>
      <c r="I119" s="67">
        <f t="shared" si="1"/>
        <v>0</v>
      </c>
      <c r="J119" s="67">
        <f t="shared" si="1"/>
        <v>0</v>
      </c>
      <c r="K119" s="67">
        <f t="shared" si="1"/>
        <v>0</v>
      </c>
      <c r="L119" s="67">
        <f>SUM(L113)</f>
        <v>0</v>
      </c>
      <c r="M119" s="67">
        <f t="shared" si="1"/>
        <v>0</v>
      </c>
      <c r="N119" s="67">
        <f t="shared" si="1"/>
        <v>0</v>
      </c>
    </row>
    <row r="120" spans="1:17" s="47" customFormat="1" ht="15.6" hidden="1" customHeight="1" x14ac:dyDescent="0.25">
      <c r="A120" s="99"/>
      <c r="B120" s="40"/>
      <c r="C120" s="40"/>
      <c r="D120" s="40"/>
      <c r="E120" s="74"/>
      <c r="F120" s="74"/>
      <c r="G120" s="74"/>
      <c r="H120" s="74"/>
      <c r="I120" s="74"/>
      <c r="J120" s="74"/>
      <c r="K120" s="74"/>
      <c r="L120" s="74"/>
      <c r="M120" s="74"/>
      <c r="N120" s="74"/>
    </row>
    <row r="121" spans="1:17" s="47" customFormat="1" ht="15.6" hidden="1" customHeight="1" x14ac:dyDescent="0.25">
      <c r="A121" s="490" t="s">
        <v>113</v>
      </c>
      <c r="B121" s="490"/>
      <c r="C121" s="490"/>
      <c r="D121" s="490"/>
      <c r="E121" s="490"/>
      <c r="F121" s="72" t="s">
        <v>114</v>
      </c>
      <c r="G121" s="70"/>
      <c r="H121" s="70"/>
      <c r="I121" s="74"/>
      <c r="J121" s="74"/>
      <c r="K121" s="74"/>
      <c r="L121" s="74"/>
      <c r="M121" s="74"/>
      <c r="N121" s="74"/>
    </row>
    <row r="122" spans="1:17" s="49" customFormat="1" ht="32.25" hidden="1" customHeight="1" x14ac:dyDescent="0.2">
      <c r="A122" s="471" t="s">
        <v>88</v>
      </c>
      <c r="B122" s="473" t="s">
        <v>52</v>
      </c>
      <c r="C122" s="24"/>
      <c r="D122" s="24"/>
      <c r="E122" s="475" t="s">
        <v>115</v>
      </c>
      <c r="F122" s="491" t="s">
        <v>29</v>
      </c>
      <c r="G122" s="491" t="s">
        <v>42</v>
      </c>
      <c r="H122" s="491" t="s">
        <v>44</v>
      </c>
      <c r="I122" s="491" t="s">
        <v>45</v>
      </c>
      <c r="J122" s="491" t="s">
        <v>14</v>
      </c>
      <c r="K122" s="491" t="s">
        <v>116</v>
      </c>
      <c r="L122" s="491">
        <v>922</v>
      </c>
      <c r="M122" s="475" t="s">
        <v>117</v>
      </c>
      <c r="N122" s="475" t="s">
        <v>118</v>
      </c>
      <c r="O122" s="48" t="s">
        <v>69</v>
      </c>
      <c r="P122" s="48" t="s">
        <v>70</v>
      </c>
    </row>
    <row r="123" spans="1:17" s="49" customFormat="1" ht="65.25" hidden="1" customHeight="1" x14ac:dyDescent="0.2">
      <c r="A123" s="472"/>
      <c r="B123" s="474"/>
      <c r="C123" s="25"/>
      <c r="D123" s="25"/>
      <c r="E123" s="476"/>
      <c r="F123" s="492"/>
      <c r="G123" s="492"/>
      <c r="H123" s="492"/>
      <c r="I123" s="492"/>
      <c r="J123" s="492"/>
      <c r="K123" s="492"/>
      <c r="L123" s="492"/>
      <c r="M123" s="476"/>
      <c r="N123" s="476"/>
      <c r="O123" s="50"/>
      <c r="P123" s="50"/>
    </row>
    <row r="124" spans="1:17" ht="14.25" hidden="1" customHeight="1" x14ac:dyDescent="0.25">
      <c r="A124" s="26">
        <v>32</v>
      </c>
      <c r="B124" s="27" t="s">
        <v>6</v>
      </c>
      <c r="C124" s="27"/>
      <c r="D124" s="27"/>
      <c r="E124" s="82">
        <f t="shared" ref="E124:E129" si="2">SUM(F124:L124)</f>
        <v>0</v>
      </c>
      <c r="F124" s="28">
        <f t="shared" ref="F124:J124" si="3">SUM(F125,F128)</f>
        <v>0</v>
      </c>
      <c r="G124" s="28">
        <f t="shared" si="3"/>
        <v>0</v>
      </c>
      <c r="H124" s="28">
        <f>SUM(H125,H128)</f>
        <v>0</v>
      </c>
      <c r="I124" s="28">
        <f t="shared" si="3"/>
        <v>0</v>
      </c>
      <c r="J124" s="28">
        <f t="shared" si="3"/>
        <v>0</v>
      </c>
      <c r="K124" s="28">
        <f>SUM(K125,K128)</f>
        <v>0</v>
      </c>
      <c r="L124" s="28">
        <f>SUM(L125,L128)</f>
        <v>0</v>
      </c>
      <c r="M124" s="28">
        <f>SUM(E124*1.1)</f>
        <v>0</v>
      </c>
      <c r="N124" s="29">
        <f>SUM(M124*1.099)</f>
        <v>0</v>
      </c>
      <c r="O124" s="19">
        <v>0</v>
      </c>
      <c r="P124" s="19">
        <v>0</v>
      </c>
    </row>
    <row r="125" spans="1:17" ht="14.25" hidden="1" customHeight="1" x14ac:dyDescent="0.25">
      <c r="A125" s="42">
        <v>321</v>
      </c>
      <c r="B125" s="43" t="s">
        <v>102</v>
      </c>
      <c r="C125" s="43"/>
      <c r="D125" s="43"/>
      <c r="E125" s="92">
        <f t="shared" si="2"/>
        <v>0</v>
      </c>
      <c r="F125" s="44">
        <f t="shared" ref="F125:N125" si="4">SUM(F126:F127)</f>
        <v>0</v>
      </c>
      <c r="G125" s="44">
        <f t="shared" si="4"/>
        <v>0</v>
      </c>
      <c r="H125" s="44">
        <f>SUM(H126:H127)</f>
        <v>0</v>
      </c>
      <c r="I125" s="44">
        <f t="shared" si="4"/>
        <v>0</v>
      </c>
      <c r="J125" s="44">
        <f t="shared" si="4"/>
        <v>0</v>
      </c>
      <c r="K125" s="44">
        <f>SUM(K126:K127)</f>
        <v>0</v>
      </c>
      <c r="L125" s="44">
        <f>SUM(L126:L127)</f>
        <v>0</v>
      </c>
      <c r="M125" s="44">
        <f t="shared" si="4"/>
        <v>0</v>
      </c>
      <c r="N125" s="45">
        <f t="shared" si="4"/>
        <v>0</v>
      </c>
      <c r="O125" s="19">
        <v>0</v>
      </c>
      <c r="P125" s="19">
        <v>0</v>
      </c>
    </row>
    <row r="126" spans="1:17" ht="27.75" hidden="1" customHeight="1" x14ac:dyDescent="0.25">
      <c r="A126" s="86">
        <v>3212</v>
      </c>
      <c r="B126" s="87" t="s">
        <v>110</v>
      </c>
      <c r="C126" s="87"/>
      <c r="D126" s="87"/>
      <c r="E126" s="88">
        <f t="shared" si="2"/>
        <v>0</v>
      </c>
      <c r="F126" s="83"/>
      <c r="G126" s="83"/>
      <c r="H126" s="83"/>
      <c r="I126" s="83"/>
      <c r="J126" s="83"/>
      <c r="K126" s="83"/>
      <c r="L126" s="83"/>
      <c r="M126" s="83"/>
      <c r="N126" s="91"/>
      <c r="O126" s="19">
        <v>0</v>
      </c>
      <c r="P126" s="19">
        <v>0</v>
      </c>
    </row>
    <row r="127" spans="1:17" ht="14.25" hidden="1" customHeight="1" x14ac:dyDescent="0.25">
      <c r="A127" s="86">
        <v>3213</v>
      </c>
      <c r="B127" s="87" t="s">
        <v>111</v>
      </c>
      <c r="C127" s="87"/>
      <c r="D127" s="87"/>
      <c r="E127" s="88">
        <f t="shared" si="2"/>
        <v>0</v>
      </c>
      <c r="F127" s="83"/>
      <c r="G127" s="83"/>
      <c r="H127" s="83"/>
      <c r="I127" s="83"/>
      <c r="J127" s="83"/>
      <c r="K127" s="83"/>
      <c r="L127" s="83"/>
      <c r="M127" s="83"/>
      <c r="N127" s="91"/>
      <c r="O127" s="19">
        <v>0</v>
      </c>
      <c r="P127" s="19">
        <v>0</v>
      </c>
    </row>
    <row r="128" spans="1:17" ht="14.25" hidden="1" customHeight="1" x14ac:dyDescent="0.25">
      <c r="A128" s="42">
        <v>322</v>
      </c>
      <c r="B128" s="43" t="s">
        <v>103</v>
      </c>
      <c r="C128" s="43"/>
      <c r="D128" s="43"/>
      <c r="E128" s="92">
        <f t="shared" si="2"/>
        <v>0</v>
      </c>
      <c r="F128" s="44">
        <f t="shared" ref="F128:N128" si="5">SUM(F129)</f>
        <v>0</v>
      </c>
      <c r="G128" s="44">
        <f t="shared" si="5"/>
        <v>0</v>
      </c>
      <c r="H128" s="44">
        <f>SUM(H129)</f>
        <v>0</v>
      </c>
      <c r="I128" s="44">
        <f t="shared" si="5"/>
        <v>0</v>
      </c>
      <c r="J128" s="44">
        <f t="shared" si="5"/>
        <v>0</v>
      </c>
      <c r="K128" s="44">
        <f>SUM(K129)</f>
        <v>0</v>
      </c>
      <c r="L128" s="44">
        <f>SUM(L129)</f>
        <v>0</v>
      </c>
      <c r="M128" s="44">
        <f t="shared" si="5"/>
        <v>0</v>
      </c>
      <c r="N128" s="45">
        <f t="shared" si="5"/>
        <v>0</v>
      </c>
      <c r="O128" s="19">
        <v>0</v>
      </c>
      <c r="P128" s="19">
        <v>0</v>
      </c>
    </row>
    <row r="129" spans="1:16" ht="14.25" hidden="1" customHeight="1" x14ac:dyDescent="0.25">
      <c r="A129" s="93">
        <v>3225</v>
      </c>
      <c r="B129" s="94" t="s">
        <v>112</v>
      </c>
      <c r="C129" s="94"/>
      <c r="D129" s="94"/>
      <c r="E129" s="95">
        <f t="shared" si="2"/>
        <v>0</v>
      </c>
      <c r="F129" s="96"/>
      <c r="G129" s="97"/>
      <c r="H129" s="96"/>
      <c r="I129" s="97"/>
      <c r="J129" s="97"/>
      <c r="K129" s="97"/>
      <c r="L129" s="97"/>
      <c r="M129" s="96"/>
      <c r="N129" s="98"/>
      <c r="O129" s="19">
        <v>0</v>
      </c>
      <c r="P129" s="19">
        <v>0</v>
      </c>
    </row>
    <row r="130" spans="1:16" s="47" customFormat="1" ht="15.6" hidden="1" customHeight="1" x14ac:dyDescent="0.25">
      <c r="A130" s="486" t="s">
        <v>93</v>
      </c>
      <c r="B130" s="487"/>
      <c r="C130" s="66"/>
      <c r="D130" s="66"/>
      <c r="E130" s="67">
        <f>SUM(E124)</f>
        <v>0</v>
      </c>
      <c r="F130" s="67">
        <f>SUM(F124)</f>
        <v>0</v>
      </c>
      <c r="G130" s="67">
        <f t="shared" ref="G130:N130" si="6">SUM(G124)</f>
        <v>0</v>
      </c>
      <c r="H130" s="67">
        <f>SUM(H124)</f>
        <v>0</v>
      </c>
      <c r="I130" s="67">
        <f t="shared" si="6"/>
        <v>0</v>
      </c>
      <c r="J130" s="67">
        <f t="shared" si="6"/>
        <v>0</v>
      </c>
      <c r="K130" s="67">
        <f>SUM(K124)</f>
        <v>0</v>
      </c>
      <c r="L130" s="67">
        <f>SUM(L124)</f>
        <v>0</v>
      </c>
      <c r="M130" s="67">
        <f t="shared" si="6"/>
        <v>0</v>
      </c>
      <c r="N130" s="67">
        <f t="shared" si="6"/>
        <v>0</v>
      </c>
    </row>
    <row r="131" spans="1:16" s="47" customFormat="1" ht="15.6" hidden="1" customHeight="1" x14ac:dyDescent="0.25">
      <c r="A131" s="40"/>
      <c r="B131" s="40"/>
      <c r="C131" s="40"/>
      <c r="D131" s="40"/>
      <c r="E131" s="74"/>
      <c r="F131" s="74"/>
      <c r="G131" s="74"/>
      <c r="H131" s="74"/>
      <c r="I131" s="74"/>
      <c r="J131" s="74"/>
      <c r="K131" s="74"/>
      <c r="L131" s="74"/>
      <c r="M131" s="74"/>
      <c r="N131" s="74"/>
    </row>
    <row r="132" spans="1:16" s="70" customFormat="1" ht="21" hidden="1" customHeight="1" x14ac:dyDescent="0.25">
      <c r="A132" s="490" t="s">
        <v>113</v>
      </c>
      <c r="B132" s="490"/>
      <c r="C132" s="490"/>
      <c r="D132" s="490"/>
      <c r="E132" s="490"/>
      <c r="F132" s="72" t="s">
        <v>119</v>
      </c>
    </row>
    <row r="133" spans="1:16" s="49" customFormat="1" ht="32.25" hidden="1" customHeight="1" x14ac:dyDescent="0.2">
      <c r="A133" s="471" t="s">
        <v>88</v>
      </c>
      <c r="B133" s="473" t="s">
        <v>52</v>
      </c>
      <c r="C133" s="24"/>
      <c r="D133" s="24"/>
      <c r="E133" s="475" t="s">
        <v>115</v>
      </c>
      <c r="F133" s="491" t="s">
        <v>29</v>
      </c>
      <c r="G133" s="491" t="s">
        <v>42</v>
      </c>
      <c r="H133" s="491" t="s">
        <v>44</v>
      </c>
      <c r="I133" s="491" t="s">
        <v>45</v>
      </c>
      <c r="J133" s="491" t="s">
        <v>14</v>
      </c>
      <c r="K133" s="491" t="s">
        <v>116</v>
      </c>
      <c r="L133" s="491">
        <v>922</v>
      </c>
      <c r="M133" s="475" t="s">
        <v>117</v>
      </c>
      <c r="N133" s="475" t="s">
        <v>118</v>
      </c>
      <c r="O133" s="48" t="s">
        <v>69</v>
      </c>
      <c r="P133" s="48" t="s">
        <v>70</v>
      </c>
    </row>
    <row r="134" spans="1:16" s="49" customFormat="1" ht="60" hidden="1" customHeight="1" x14ac:dyDescent="0.2">
      <c r="A134" s="472"/>
      <c r="B134" s="474"/>
      <c r="C134" s="25"/>
      <c r="D134" s="25"/>
      <c r="E134" s="476"/>
      <c r="F134" s="492"/>
      <c r="G134" s="492"/>
      <c r="H134" s="492"/>
      <c r="I134" s="492"/>
      <c r="J134" s="492"/>
      <c r="K134" s="492"/>
      <c r="L134" s="492"/>
      <c r="M134" s="476"/>
      <c r="N134" s="476"/>
      <c r="O134" s="50"/>
      <c r="P134" s="50"/>
    </row>
    <row r="135" spans="1:16" ht="14.25" hidden="1" customHeight="1" x14ac:dyDescent="0.25">
      <c r="A135" s="26">
        <v>32</v>
      </c>
      <c r="B135" s="27" t="s">
        <v>6</v>
      </c>
      <c r="C135" s="27"/>
      <c r="D135" s="27"/>
      <c r="E135" s="82">
        <f t="shared" ref="E135:E145" si="7">SUM(F135:L135)</f>
        <v>0</v>
      </c>
      <c r="F135" s="28">
        <f>SUM(F136,F138,F142)</f>
        <v>0</v>
      </c>
      <c r="G135" s="28">
        <f t="shared" ref="G135:K135" si="8">SUM(G136,G138,G142)</f>
        <v>0</v>
      </c>
      <c r="H135" s="28">
        <f>SUM(H136,H138,H142)</f>
        <v>0</v>
      </c>
      <c r="I135" s="28">
        <f t="shared" si="8"/>
        <v>0</v>
      </c>
      <c r="J135" s="28">
        <f t="shared" si="8"/>
        <v>0</v>
      </c>
      <c r="K135" s="28">
        <f t="shared" si="8"/>
        <v>0</v>
      </c>
      <c r="L135" s="28">
        <f>SUM(L136,L138,L142)</f>
        <v>0</v>
      </c>
      <c r="M135" s="28">
        <f>SUM(E135*1.1)</f>
        <v>0</v>
      </c>
      <c r="N135" s="29">
        <f>SUM(M135*1.099)</f>
        <v>0</v>
      </c>
      <c r="O135" s="19">
        <v>0</v>
      </c>
      <c r="P135" s="19">
        <v>0</v>
      </c>
    </row>
    <row r="136" spans="1:16" ht="14.25" hidden="1" customHeight="1" x14ac:dyDescent="0.25">
      <c r="A136" s="42">
        <v>321</v>
      </c>
      <c r="B136" s="43" t="s">
        <v>102</v>
      </c>
      <c r="C136" s="43"/>
      <c r="D136" s="43"/>
      <c r="E136" s="92">
        <f t="shared" si="7"/>
        <v>0</v>
      </c>
      <c r="F136" s="44">
        <f>SUM(F137)</f>
        <v>0</v>
      </c>
      <c r="G136" s="44">
        <f t="shared" ref="G136:N136" si="9">SUM(G137)</f>
        <v>0</v>
      </c>
      <c r="H136" s="44">
        <f>SUM(H137)</f>
        <v>0</v>
      </c>
      <c r="I136" s="44">
        <f t="shared" si="9"/>
        <v>0</v>
      </c>
      <c r="J136" s="44">
        <f t="shared" si="9"/>
        <v>0</v>
      </c>
      <c r="K136" s="44">
        <f t="shared" si="9"/>
        <v>0</v>
      </c>
      <c r="L136" s="44">
        <f t="shared" si="9"/>
        <v>0</v>
      </c>
      <c r="M136" s="44">
        <f t="shared" si="9"/>
        <v>0</v>
      </c>
      <c r="N136" s="45">
        <f t="shared" si="9"/>
        <v>0</v>
      </c>
      <c r="O136" s="19">
        <v>0</v>
      </c>
      <c r="P136" s="19">
        <v>0</v>
      </c>
    </row>
    <row r="137" spans="1:16" ht="14.25" hidden="1" customHeight="1" x14ac:dyDescent="0.25">
      <c r="A137" s="86">
        <v>3213</v>
      </c>
      <c r="B137" s="87" t="s">
        <v>111</v>
      </c>
      <c r="C137" s="87"/>
      <c r="D137" s="87"/>
      <c r="E137" s="88">
        <f t="shared" si="7"/>
        <v>0</v>
      </c>
      <c r="F137" s="83"/>
      <c r="G137" s="83"/>
      <c r="H137" s="83"/>
      <c r="I137" s="83"/>
      <c r="J137" s="83"/>
      <c r="K137" s="83"/>
      <c r="L137" s="83"/>
      <c r="M137" s="83"/>
      <c r="N137" s="91"/>
      <c r="O137" s="19">
        <v>0</v>
      </c>
      <c r="P137" s="19">
        <v>0</v>
      </c>
    </row>
    <row r="138" spans="1:16" ht="14.25" hidden="1" customHeight="1" x14ac:dyDescent="0.25">
      <c r="A138" s="42">
        <v>322</v>
      </c>
      <c r="B138" s="43" t="s">
        <v>103</v>
      </c>
      <c r="C138" s="43"/>
      <c r="D138" s="43"/>
      <c r="E138" s="92">
        <f t="shared" si="7"/>
        <v>0</v>
      </c>
      <c r="F138" s="44">
        <f>SUM(F139:F141)</f>
        <v>0</v>
      </c>
      <c r="G138" s="44">
        <f t="shared" ref="G138:N138" si="10">SUM(G139:G141)</f>
        <v>0</v>
      </c>
      <c r="H138" s="44">
        <f>SUM(H139:H141)</f>
        <v>0</v>
      </c>
      <c r="I138" s="44">
        <f t="shared" si="10"/>
        <v>0</v>
      </c>
      <c r="J138" s="44">
        <f t="shared" si="10"/>
        <v>0</v>
      </c>
      <c r="K138" s="44">
        <f t="shared" si="10"/>
        <v>0</v>
      </c>
      <c r="L138" s="44">
        <f>SUM(L139:L141)</f>
        <v>0</v>
      </c>
      <c r="M138" s="44">
        <f t="shared" si="10"/>
        <v>0</v>
      </c>
      <c r="N138" s="45">
        <f t="shared" si="10"/>
        <v>0</v>
      </c>
      <c r="O138" s="19">
        <v>0</v>
      </c>
      <c r="P138" s="19">
        <v>0</v>
      </c>
    </row>
    <row r="139" spans="1:16" ht="19.5" hidden="1" customHeight="1" x14ac:dyDescent="0.25">
      <c r="A139" s="86">
        <v>3221</v>
      </c>
      <c r="B139" s="87" t="s">
        <v>120</v>
      </c>
      <c r="C139" s="87"/>
      <c r="D139" s="87"/>
      <c r="E139" s="88">
        <f t="shared" si="7"/>
        <v>0</v>
      </c>
      <c r="F139" s="83"/>
      <c r="G139" s="83"/>
      <c r="H139" s="83"/>
      <c r="I139" s="83"/>
      <c r="J139" s="83"/>
      <c r="K139" s="83"/>
      <c r="L139" s="83"/>
      <c r="M139" s="83"/>
      <c r="N139" s="91"/>
      <c r="O139" s="19">
        <v>0</v>
      </c>
      <c r="P139" s="19">
        <v>0</v>
      </c>
    </row>
    <row r="140" spans="1:16" ht="14.25" hidden="1" customHeight="1" x14ac:dyDescent="0.25">
      <c r="A140" s="86">
        <v>3222</v>
      </c>
      <c r="B140" s="87" t="s">
        <v>121</v>
      </c>
      <c r="C140" s="87"/>
      <c r="D140" s="87"/>
      <c r="E140" s="88">
        <f t="shared" si="7"/>
        <v>0</v>
      </c>
      <c r="F140" s="100"/>
      <c r="G140" s="100"/>
      <c r="H140" s="100"/>
      <c r="I140" s="100"/>
      <c r="J140" s="100"/>
      <c r="K140" s="100"/>
      <c r="L140" s="100"/>
      <c r="M140" s="83"/>
      <c r="N140" s="91"/>
      <c r="O140" s="19">
        <v>0</v>
      </c>
      <c r="P140" s="19">
        <v>0</v>
      </c>
    </row>
    <row r="141" spans="1:16" ht="14.25" hidden="1" customHeight="1" x14ac:dyDescent="0.25">
      <c r="A141" s="86">
        <v>3225</v>
      </c>
      <c r="B141" s="87" t="s">
        <v>112</v>
      </c>
      <c r="C141" s="87"/>
      <c r="D141" s="87"/>
      <c r="E141" s="88">
        <f t="shared" si="7"/>
        <v>0</v>
      </c>
      <c r="F141" s="83"/>
      <c r="G141" s="100"/>
      <c r="H141" s="83"/>
      <c r="I141" s="100"/>
      <c r="J141" s="100"/>
      <c r="K141" s="100"/>
      <c r="L141" s="100"/>
      <c r="M141" s="83"/>
      <c r="N141" s="91"/>
      <c r="O141" s="19">
        <v>0</v>
      </c>
      <c r="P141" s="19">
        <v>0</v>
      </c>
    </row>
    <row r="142" spans="1:16" ht="18" hidden="1" customHeight="1" x14ac:dyDescent="0.25">
      <c r="A142" s="42">
        <v>323</v>
      </c>
      <c r="B142" s="43" t="s">
        <v>89</v>
      </c>
      <c r="C142" s="43"/>
      <c r="D142" s="43"/>
      <c r="E142" s="92">
        <f t="shared" si="7"/>
        <v>0</v>
      </c>
      <c r="F142" s="44">
        <f>SUM(F143:F145)</f>
        <v>0</v>
      </c>
      <c r="G142" s="44">
        <f t="shared" ref="G142:N142" si="11">SUM(G143:G145)</f>
        <v>0</v>
      </c>
      <c r="H142" s="44">
        <f>SUM(H143:H145)</f>
        <v>0</v>
      </c>
      <c r="I142" s="44">
        <f t="shared" si="11"/>
        <v>0</v>
      </c>
      <c r="J142" s="44">
        <f t="shared" si="11"/>
        <v>0</v>
      </c>
      <c r="K142" s="44">
        <f t="shared" si="11"/>
        <v>0</v>
      </c>
      <c r="L142" s="44">
        <f>SUM(L143:L145)</f>
        <v>0</v>
      </c>
      <c r="M142" s="44">
        <f t="shared" si="11"/>
        <v>0</v>
      </c>
      <c r="N142" s="45">
        <f t="shared" si="11"/>
        <v>0</v>
      </c>
    </row>
    <row r="143" spans="1:16" ht="15.6" hidden="1" customHeight="1" x14ac:dyDescent="0.25">
      <c r="A143" s="86">
        <v>3236</v>
      </c>
      <c r="B143" s="87" t="s">
        <v>122</v>
      </c>
      <c r="C143" s="87"/>
      <c r="D143" s="87"/>
      <c r="E143" s="88">
        <f t="shared" si="7"/>
        <v>0</v>
      </c>
      <c r="F143" s="100"/>
      <c r="G143" s="100"/>
      <c r="H143" s="100"/>
      <c r="I143" s="100"/>
      <c r="J143" s="100"/>
      <c r="K143" s="100"/>
      <c r="L143" s="100"/>
      <c r="M143" s="83"/>
      <c r="N143" s="91"/>
    </row>
    <row r="144" spans="1:16" ht="15.6" hidden="1" customHeight="1" x14ac:dyDescent="0.25">
      <c r="A144" s="86">
        <v>3237</v>
      </c>
      <c r="B144" s="87" t="s">
        <v>123</v>
      </c>
      <c r="C144" s="87"/>
      <c r="D144" s="87"/>
      <c r="E144" s="88">
        <f t="shared" si="7"/>
        <v>0</v>
      </c>
      <c r="F144" s="100"/>
      <c r="G144" s="100"/>
      <c r="H144" s="100"/>
      <c r="I144" s="100"/>
      <c r="J144" s="100"/>
      <c r="K144" s="100"/>
      <c r="L144" s="100"/>
      <c r="M144" s="83"/>
      <c r="N144" s="91"/>
    </row>
    <row r="145" spans="1:16" ht="15.6" hidden="1" customHeight="1" x14ac:dyDescent="0.25">
      <c r="A145" s="93">
        <v>3239</v>
      </c>
      <c r="B145" s="94" t="s">
        <v>124</v>
      </c>
      <c r="C145" s="94"/>
      <c r="D145" s="94"/>
      <c r="E145" s="95">
        <f t="shared" si="7"/>
        <v>0</v>
      </c>
      <c r="F145" s="96"/>
      <c r="G145" s="97"/>
      <c r="H145" s="96"/>
      <c r="I145" s="97"/>
      <c r="J145" s="97"/>
      <c r="K145" s="97"/>
      <c r="L145" s="97"/>
      <c r="M145" s="96"/>
      <c r="N145" s="98"/>
    </row>
    <row r="146" spans="1:16" s="47" customFormat="1" ht="15.6" hidden="1" customHeight="1" x14ac:dyDescent="0.25">
      <c r="A146" s="486" t="s">
        <v>93</v>
      </c>
      <c r="B146" s="487"/>
      <c r="C146" s="66"/>
      <c r="D146" s="66"/>
      <c r="E146" s="67">
        <f>SUM(E135)</f>
        <v>0</v>
      </c>
      <c r="F146" s="39">
        <f>SUM(F135)</f>
        <v>0</v>
      </c>
      <c r="G146" s="39">
        <f t="shared" ref="G146:N146" si="12">SUM(G135)</f>
        <v>0</v>
      </c>
      <c r="H146" s="39">
        <f>SUM(H135)</f>
        <v>0</v>
      </c>
      <c r="I146" s="39">
        <f t="shared" si="12"/>
        <v>0</v>
      </c>
      <c r="J146" s="39">
        <f t="shared" si="12"/>
        <v>0</v>
      </c>
      <c r="K146" s="39">
        <f t="shared" si="12"/>
        <v>0</v>
      </c>
      <c r="L146" s="39">
        <f>SUM(L135)</f>
        <v>0</v>
      </c>
      <c r="M146" s="39">
        <f t="shared" si="12"/>
        <v>0</v>
      </c>
      <c r="N146" s="39">
        <f t="shared" si="12"/>
        <v>0</v>
      </c>
    </row>
    <row r="147" spans="1:16" s="47" customFormat="1" ht="15.6" hidden="1" customHeight="1" x14ac:dyDescent="0.25">
      <c r="A147" s="40"/>
      <c r="B147" s="40"/>
      <c r="C147" s="40"/>
      <c r="D147" s="40"/>
      <c r="E147" s="74"/>
      <c r="F147" s="101"/>
      <c r="G147" s="41"/>
      <c r="H147" s="41"/>
      <c r="I147" s="41"/>
      <c r="J147" s="41"/>
      <c r="K147" s="41"/>
      <c r="L147" s="41"/>
      <c r="M147" s="41"/>
      <c r="N147" s="41"/>
    </row>
    <row r="148" spans="1:16" s="70" customFormat="1" ht="21" hidden="1" customHeight="1" x14ac:dyDescent="0.25">
      <c r="A148" s="490" t="s">
        <v>113</v>
      </c>
      <c r="B148" s="490"/>
      <c r="C148" s="490"/>
      <c r="D148" s="490"/>
      <c r="E148" s="490"/>
      <c r="F148" s="72" t="s">
        <v>125</v>
      </c>
    </row>
    <row r="149" spans="1:16" ht="32.25" hidden="1" customHeight="1" x14ac:dyDescent="0.25">
      <c r="A149" s="471" t="s">
        <v>88</v>
      </c>
      <c r="B149" s="473" t="s">
        <v>52</v>
      </c>
      <c r="C149" s="24"/>
      <c r="D149" s="24"/>
      <c r="E149" s="475" t="s">
        <v>115</v>
      </c>
      <c r="F149" s="491" t="s">
        <v>29</v>
      </c>
      <c r="G149" s="491" t="s">
        <v>42</v>
      </c>
      <c r="H149" s="491" t="s">
        <v>44</v>
      </c>
      <c r="I149" s="491" t="s">
        <v>45</v>
      </c>
      <c r="J149" s="491" t="s">
        <v>14</v>
      </c>
      <c r="K149" s="491" t="s">
        <v>116</v>
      </c>
      <c r="L149" s="491">
        <v>922</v>
      </c>
      <c r="M149" s="475" t="s">
        <v>117</v>
      </c>
      <c r="N149" s="475" t="s">
        <v>118</v>
      </c>
    </row>
    <row r="150" spans="1:16" ht="54.75" hidden="1" customHeight="1" x14ac:dyDescent="0.25">
      <c r="A150" s="472"/>
      <c r="B150" s="474"/>
      <c r="C150" s="25"/>
      <c r="D150" s="25"/>
      <c r="E150" s="476"/>
      <c r="F150" s="492"/>
      <c r="G150" s="492"/>
      <c r="H150" s="492"/>
      <c r="I150" s="492"/>
      <c r="J150" s="492"/>
      <c r="K150" s="492"/>
      <c r="L150" s="492"/>
      <c r="M150" s="476"/>
      <c r="N150" s="476"/>
    </row>
    <row r="151" spans="1:16" ht="15.75" hidden="1" customHeight="1" x14ac:dyDescent="0.25">
      <c r="A151" s="26">
        <v>32</v>
      </c>
      <c r="B151" s="27" t="s">
        <v>6</v>
      </c>
      <c r="C151" s="27"/>
      <c r="D151" s="27"/>
      <c r="E151" s="82">
        <f t="shared" ref="E151:E158" si="13">SUM(F151:L151)</f>
        <v>0</v>
      </c>
      <c r="F151" s="28">
        <f>SUM(F152,F155)</f>
        <v>0</v>
      </c>
      <c r="G151" s="28">
        <f t="shared" ref="G151:K151" si="14">SUM(G152,G155)</f>
        <v>0</v>
      </c>
      <c r="H151" s="28">
        <f>SUM(H152,H155)</f>
        <v>0</v>
      </c>
      <c r="I151" s="28">
        <f t="shared" si="14"/>
        <v>0</v>
      </c>
      <c r="J151" s="28">
        <f t="shared" si="14"/>
        <v>0</v>
      </c>
      <c r="K151" s="28">
        <f t="shared" si="14"/>
        <v>0</v>
      </c>
      <c r="L151" s="28">
        <f>SUM(L152,L155)</f>
        <v>0</v>
      </c>
      <c r="M151" s="28">
        <f>SUM(E151*1.1)</f>
        <v>0</v>
      </c>
      <c r="N151" s="29">
        <f>SUM(M151*1.099)</f>
        <v>0</v>
      </c>
      <c r="O151" s="19">
        <v>0</v>
      </c>
      <c r="P151" s="19">
        <v>0</v>
      </c>
    </row>
    <row r="152" spans="1:16" ht="14.25" hidden="1" customHeight="1" x14ac:dyDescent="0.25">
      <c r="A152" s="42">
        <v>322</v>
      </c>
      <c r="B152" s="43" t="s">
        <v>103</v>
      </c>
      <c r="C152" s="43"/>
      <c r="D152" s="43"/>
      <c r="E152" s="92">
        <f t="shared" si="13"/>
        <v>0</v>
      </c>
      <c r="F152" s="44">
        <f>SUM(F153:F154)</f>
        <v>0</v>
      </c>
      <c r="G152" s="44">
        <f t="shared" ref="G152:N152" si="15">SUM(G153:G154)</f>
        <v>0</v>
      </c>
      <c r="H152" s="44">
        <f>SUM(H153:H154)</f>
        <v>0</v>
      </c>
      <c r="I152" s="44">
        <f t="shared" si="15"/>
        <v>0</v>
      </c>
      <c r="J152" s="44">
        <f t="shared" si="15"/>
        <v>0</v>
      </c>
      <c r="K152" s="44">
        <f t="shared" si="15"/>
        <v>0</v>
      </c>
      <c r="L152" s="44">
        <f>SUM(L153:L154)</f>
        <v>0</v>
      </c>
      <c r="M152" s="44">
        <f t="shared" si="15"/>
        <v>0</v>
      </c>
      <c r="N152" s="45">
        <f t="shared" si="15"/>
        <v>0</v>
      </c>
      <c r="O152" s="19">
        <v>0</v>
      </c>
      <c r="P152" s="19">
        <v>0</v>
      </c>
    </row>
    <row r="153" spans="1:16" ht="19.5" hidden="1" customHeight="1" x14ac:dyDescent="0.25">
      <c r="A153" s="86">
        <v>3221</v>
      </c>
      <c r="B153" s="87" t="s">
        <v>120</v>
      </c>
      <c r="C153" s="87"/>
      <c r="D153" s="87"/>
      <c r="E153" s="88">
        <f t="shared" si="13"/>
        <v>0</v>
      </c>
      <c r="F153" s="83"/>
      <c r="G153" s="83"/>
      <c r="H153" s="83"/>
      <c r="I153" s="83"/>
      <c r="J153" s="83"/>
      <c r="K153" s="83"/>
      <c r="L153" s="83"/>
      <c r="M153" s="83"/>
      <c r="N153" s="91"/>
      <c r="O153" s="19">
        <v>0</v>
      </c>
      <c r="P153" s="19">
        <v>0</v>
      </c>
    </row>
    <row r="154" spans="1:16" ht="14.25" hidden="1" customHeight="1" x14ac:dyDescent="0.25">
      <c r="A154" s="86">
        <v>3225</v>
      </c>
      <c r="B154" s="87" t="s">
        <v>112</v>
      </c>
      <c r="C154" s="87"/>
      <c r="D154" s="87"/>
      <c r="E154" s="88">
        <f t="shared" si="13"/>
        <v>0</v>
      </c>
      <c r="F154" s="83"/>
      <c r="G154" s="100"/>
      <c r="H154" s="83"/>
      <c r="I154" s="100"/>
      <c r="J154" s="100"/>
      <c r="K154" s="100"/>
      <c r="L154" s="100"/>
      <c r="M154" s="83"/>
      <c r="N154" s="91"/>
      <c r="O154" s="19">
        <v>0</v>
      </c>
      <c r="P154" s="19">
        <v>0</v>
      </c>
    </row>
    <row r="155" spans="1:16" ht="18" hidden="1" customHeight="1" x14ac:dyDescent="0.25">
      <c r="A155" s="42">
        <v>323</v>
      </c>
      <c r="B155" s="43" t="s">
        <v>89</v>
      </c>
      <c r="C155" s="43"/>
      <c r="D155" s="43"/>
      <c r="E155" s="92">
        <f t="shared" si="13"/>
        <v>0</v>
      </c>
      <c r="F155" s="44">
        <f>SUM(F156:F158)</f>
        <v>0</v>
      </c>
      <c r="G155" s="44">
        <f t="shared" ref="G155:N155" si="16">SUM(G156:G158)</f>
        <v>0</v>
      </c>
      <c r="H155" s="44">
        <f>SUM(H156:H158)</f>
        <v>0</v>
      </c>
      <c r="I155" s="44">
        <f t="shared" si="16"/>
        <v>0</v>
      </c>
      <c r="J155" s="44">
        <f t="shared" si="16"/>
        <v>0</v>
      </c>
      <c r="K155" s="44">
        <f t="shared" si="16"/>
        <v>0</v>
      </c>
      <c r="L155" s="44">
        <f>SUM(L156:L158)</f>
        <v>0</v>
      </c>
      <c r="M155" s="44">
        <f t="shared" si="16"/>
        <v>0</v>
      </c>
      <c r="N155" s="45">
        <f t="shared" si="16"/>
        <v>0</v>
      </c>
    </row>
    <row r="156" spans="1:16" ht="15.6" hidden="1" customHeight="1" x14ac:dyDescent="0.25">
      <c r="A156" s="86">
        <v>3235</v>
      </c>
      <c r="B156" s="87" t="s">
        <v>126</v>
      </c>
      <c r="C156" s="87"/>
      <c r="D156" s="87"/>
      <c r="E156" s="88">
        <f t="shared" si="13"/>
        <v>0</v>
      </c>
      <c r="F156" s="100"/>
      <c r="G156" s="100"/>
      <c r="H156" s="100"/>
      <c r="I156" s="100"/>
      <c r="J156" s="100"/>
      <c r="K156" s="100"/>
      <c r="L156" s="100"/>
      <c r="M156" s="83"/>
      <c r="N156" s="91"/>
    </row>
    <row r="157" spans="1:16" ht="15.6" hidden="1" customHeight="1" x14ac:dyDescent="0.25">
      <c r="A157" s="86">
        <v>3237</v>
      </c>
      <c r="B157" s="87" t="s">
        <v>123</v>
      </c>
      <c r="C157" s="87"/>
      <c r="D157" s="87"/>
      <c r="E157" s="88">
        <f t="shared" si="13"/>
        <v>0</v>
      </c>
      <c r="F157" s="100"/>
      <c r="G157" s="100"/>
      <c r="H157" s="100"/>
      <c r="I157" s="100"/>
      <c r="J157" s="100"/>
      <c r="K157" s="100"/>
      <c r="L157" s="100"/>
      <c r="M157" s="83"/>
      <c r="N157" s="91"/>
    </row>
    <row r="158" spans="1:16" ht="15.6" hidden="1" customHeight="1" x14ac:dyDescent="0.25">
      <c r="A158" s="93">
        <v>3239</v>
      </c>
      <c r="B158" s="94" t="s">
        <v>124</v>
      </c>
      <c r="C158" s="94"/>
      <c r="D158" s="94"/>
      <c r="E158" s="95">
        <f t="shared" si="13"/>
        <v>0</v>
      </c>
      <c r="F158" s="96"/>
      <c r="G158" s="97"/>
      <c r="H158" s="96"/>
      <c r="I158" s="97"/>
      <c r="J158" s="97"/>
      <c r="K158" s="97"/>
      <c r="L158" s="97"/>
      <c r="M158" s="96"/>
      <c r="N158" s="98"/>
    </row>
    <row r="159" spans="1:16" s="103" customFormat="1" ht="19.5" hidden="1" customHeight="1" x14ac:dyDescent="0.2">
      <c r="A159" s="493" t="s">
        <v>93</v>
      </c>
      <c r="B159" s="494"/>
      <c r="C159" s="102"/>
      <c r="D159" s="102"/>
      <c r="E159" s="67">
        <f>SUM(E151)</f>
        <v>0</v>
      </c>
      <c r="F159" s="67">
        <f>SUM(F151)</f>
        <v>0</v>
      </c>
      <c r="G159" s="67">
        <f t="shared" ref="G159:N159" si="17">SUM(G151)</f>
        <v>0</v>
      </c>
      <c r="H159" s="67">
        <f>SUM(H151)</f>
        <v>0</v>
      </c>
      <c r="I159" s="67">
        <f t="shared" si="17"/>
        <v>0</v>
      </c>
      <c r="J159" s="67">
        <f t="shared" si="17"/>
        <v>0</v>
      </c>
      <c r="K159" s="67">
        <f t="shared" si="17"/>
        <v>0</v>
      </c>
      <c r="L159" s="67">
        <f>SUM(L151)</f>
        <v>0</v>
      </c>
      <c r="M159" s="67">
        <f t="shared" si="17"/>
        <v>0</v>
      </c>
      <c r="N159" s="67">
        <f t="shared" si="17"/>
        <v>0</v>
      </c>
      <c r="O159" s="67" t="e">
        <f>SUM(#REF!,#REF!,#REF!,#REF!)</f>
        <v>#REF!</v>
      </c>
      <c r="P159" s="67" t="e">
        <f>SUM(#REF!,#REF!,#REF!,#REF!)</f>
        <v>#REF!</v>
      </c>
    </row>
    <row r="160" spans="1:16" ht="15.6" hidden="1" customHeight="1" x14ac:dyDescent="0.25">
      <c r="A160" s="104"/>
      <c r="B160" s="105"/>
      <c r="C160" s="105"/>
      <c r="D160" s="105"/>
      <c r="E160" s="74"/>
      <c r="F160" s="106"/>
      <c r="G160" s="41"/>
      <c r="H160" s="41"/>
      <c r="I160" s="41"/>
      <c r="J160" s="41"/>
      <c r="K160" s="41"/>
      <c r="L160" s="41"/>
      <c r="M160" s="41"/>
      <c r="N160" s="41"/>
      <c r="O160" s="47"/>
      <c r="P160" s="47"/>
    </row>
    <row r="161" spans="1:16" s="70" customFormat="1" ht="21" hidden="1" customHeight="1" x14ac:dyDescent="0.25">
      <c r="A161" s="490" t="s">
        <v>113</v>
      </c>
      <c r="B161" s="490"/>
      <c r="C161" s="490"/>
      <c r="D161" s="490"/>
      <c r="E161" s="490"/>
      <c r="F161" s="72" t="s">
        <v>127</v>
      </c>
    </row>
    <row r="162" spans="1:16" ht="32.25" hidden="1" customHeight="1" x14ac:dyDescent="0.25">
      <c r="A162" s="471" t="s">
        <v>88</v>
      </c>
      <c r="B162" s="473" t="s">
        <v>52</v>
      </c>
      <c r="C162" s="24"/>
      <c r="D162" s="24"/>
      <c r="E162" s="475" t="s">
        <v>115</v>
      </c>
      <c r="F162" s="491" t="s">
        <v>29</v>
      </c>
      <c r="G162" s="491" t="s">
        <v>42</v>
      </c>
      <c r="H162" s="491" t="s">
        <v>44</v>
      </c>
      <c r="I162" s="491" t="s">
        <v>45</v>
      </c>
      <c r="J162" s="491" t="s">
        <v>14</v>
      </c>
      <c r="K162" s="491" t="s">
        <v>116</v>
      </c>
      <c r="L162" s="491">
        <v>922</v>
      </c>
      <c r="M162" s="475" t="s">
        <v>117</v>
      </c>
      <c r="N162" s="475" t="s">
        <v>118</v>
      </c>
    </row>
    <row r="163" spans="1:16" ht="57.75" hidden="1" customHeight="1" x14ac:dyDescent="0.25">
      <c r="A163" s="472"/>
      <c r="B163" s="474"/>
      <c r="C163" s="25"/>
      <c r="D163" s="25"/>
      <c r="E163" s="476"/>
      <c r="F163" s="492"/>
      <c r="G163" s="492"/>
      <c r="H163" s="492"/>
      <c r="I163" s="492"/>
      <c r="J163" s="492"/>
      <c r="K163" s="492"/>
      <c r="L163" s="492"/>
      <c r="M163" s="476"/>
      <c r="N163" s="476"/>
    </row>
    <row r="164" spans="1:16" ht="15.75" hidden="1" customHeight="1" x14ac:dyDescent="0.25">
      <c r="A164" s="42">
        <v>32</v>
      </c>
      <c r="B164" s="43" t="s">
        <v>6</v>
      </c>
      <c r="C164" s="43"/>
      <c r="D164" s="43"/>
      <c r="E164" s="92">
        <f t="shared" ref="E164:E172" si="18">SUM(F164:L164)</f>
        <v>0</v>
      </c>
      <c r="F164" s="44">
        <f>SUM(F165,F167,F170)</f>
        <v>0</v>
      </c>
      <c r="G164" s="44">
        <f t="shared" ref="G164:K164" si="19">SUM(G165,G167,G170)</f>
        <v>0</v>
      </c>
      <c r="H164" s="44">
        <f>SUM(H165,H167,H170)</f>
        <v>0</v>
      </c>
      <c r="I164" s="44">
        <f t="shared" si="19"/>
        <v>0</v>
      </c>
      <c r="J164" s="44">
        <f t="shared" si="19"/>
        <v>0</v>
      </c>
      <c r="K164" s="44">
        <f t="shared" si="19"/>
        <v>0</v>
      </c>
      <c r="L164" s="44">
        <f>SUM(L165,L167,L170)</f>
        <v>0</v>
      </c>
      <c r="M164" s="44">
        <f>SUM(E164*1.1)</f>
        <v>0</v>
      </c>
      <c r="N164" s="45">
        <f>SUM(M164*1.099)</f>
        <v>0</v>
      </c>
      <c r="O164" s="19">
        <v>0</v>
      </c>
      <c r="P164" s="19">
        <v>0</v>
      </c>
    </row>
    <row r="165" spans="1:16" ht="12.75" hidden="1" customHeight="1" x14ac:dyDescent="0.25">
      <c r="A165" s="42">
        <v>321</v>
      </c>
      <c r="B165" s="43" t="s">
        <v>102</v>
      </c>
      <c r="C165" s="43"/>
      <c r="D165" s="43"/>
      <c r="E165" s="92">
        <f t="shared" si="18"/>
        <v>0</v>
      </c>
      <c r="F165" s="44">
        <f>SUM(F166)</f>
        <v>0</v>
      </c>
      <c r="G165" s="44">
        <f t="shared" ref="G165:N165" si="20">SUM(G166)</f>
        <v>0</v>
      </c>
      <c r="H165" s="44">
        <f>SUM(H166)</f>
        <v>0</v>
      </c>
      <c r="I165" s="44">
        <f t="shared" si="20"/>
        <v>0</v>
      </c>
      <c r="J165" s="44">
        <f t="shared" si="20"/>
        <v>0</v>
      </c>
      <c r="K165" s="44">
        <f t="shared" si="20"/>
        <v>0</v>
      </c>
      <c r="L165" s="44">
        <f t="shared" si="20"/>
        <v>0</v>
      </c>
      <c r="M165" s="44">
        <f t="shared" si="20"/>
        <v>0</v>
      </c>
      <c r="N165" s="45">
        <f t="shared" si="20"/>
        <v>0</v>
      </c>
      <c r="O165" s="19">
        <v>0</v>
      </c>
      <c r="P165" s="19">
        <v>0</v>
      </c>
    </row>
    <row r="166" spans="1:16" ht="14.25" hidden="1" customHeight="1" x14ac:dyDescent="0.25">
      <c r="A166" s="86">
        <v>3213</v>
      </c>
      <c r="B166" s="87" t="s">
        <v>111</v>
      </c>
      <c r="C166" s="87"/>
      <c r="D166" s="87"/>
      <c r="E166" s="88">
        <f t="shared" si="18"/>
        <v>0</v>
      </c>
      <c r="F166" s="83"/>
      <c r="G166" s="83"/>
      <c r="H166" s="83"/>
      <c r="I166" s="83"/>
      <c r="J166" s="83"/>
      <c r="K166" s="83"/>
      <c r="L166" s="83"/>
      <c r="M166" s="83"/>
      <c r="N166" s="91"/>
      <c r="O166" s="19">
        <v>0</v>
      </c>
      <c r="P166" s="19">
        <v>0</v>
      </c>
    </row>
    <row r="167" spans="1:16" ht="14.25" hidden="1" customHeight="1" x14ac:dyDescent="0.25">
      <c r="A167" s="42">
        <v>322</v>
      </c>
      <c r="B167" s="43" t="s">
        <v>103</v>
      </c>
      <c r="C167" s="43"/>
      <c r="D167" s="43"/>
      <c r="E167" s="92">
        <f t="shared" si="18"/>
        <v>0</v>
      </c>
      <c r="F167" s="44">
        <f>SUM(F168:F169)</f>
        <v>0</v>
      </c>
      <c r="G167" s="44">
        <f t="shared" ref="G167:N167" si="21">SUM(G168:G169)</f>
        <v>0</v>
      </c>
      <c r="H167" s="44">
        <f>SUM(H168:H169)</f>
        <v>0</v>
      </c>
      <c r="I167" s="44">
        <f t="shared" si="21"/>
        <v>0</v>
      </c>
      <c r="J167" s="44">
        <f t="shared" si="21"/>
        <v>0</v>
      </c>
      <c r="K167" s="44">
        <f t="shared" si="21"/>
        <v>0</v>
      </c>
      <c r="L167" s="44">
        <f>SUM(L168:L169)</f>
        <v>0</v>
      </c>
      <c r="M167" s="44">
        <f t="shared" si="21"/>
        <v>0</v>
      </c>
      <c r="N167" s="45">
        <f t="shared" si="21"/>
        <v>0</v>
      </c>
      <c r="O167" s="19">
        <v>0</v>
      </c>
      <c r="P167" s="19">
        <v>0</v>
      </c>
    </row>
    <row r="168" spans="1:16" ht="19.5" hidden="1" customHeight="1" x14ac:dyDescent="0.25">
      <c r="A168" s="86">
        <v>3221</v>
      </c>
      <c r="B168" s="87" t="s">
        <v>120</v>
      </c>
      <c r="C168" s="87"/>
      <c r="D168" s="87"/>
      <c r="E168" s="88">
        <f t="shared" si="18"/>
        <v>0</v>
      </c>
      <c r="F168" s="83"/>
      <c r="G168" s="83"/>
      <c r="H168" s="83"/>
      <c r="I168" s="83"/>
      <c r="J168" s="83"/>
      <c r="K168" s="83"/>
      <c r="L168" s="83"/>
      <c r="M168" s="83"/>
      <c r="N168" s="91"/>
      <c r="O168" s="19">
        <v>0</v>
      </c>
      <c r="P168" s="19">
        <v>0</v>
      </c>
    </row>
    <row r="169" spans="1:16" ht="14.25" hidden="1" customHeight="1" x14ac:dyDescent="0.25">
      <c r="A169" s="86">
        <v>3225</v>
      </c>
      <c r="B169" s="87" t="s">
        <v>112</v>
      </c>
      <c r="C169" s="87"/>
      <c r="D169" s="87"/>
      <c r="E169" s="88">
        <f t="shared" si="18"/>
        <v>0</v>
      </c>
      <c r="F169" s="83"/>
      <c r="G169" s="100"/>
      <c r="H169" s="83"/>
      <c r="I169" s="100"/>
      <c r="J169" s="100"/>
      <c r="K169" s="100"/>
      <c r="L169" s="100"/>
      <c r="M169" s="83"/>
      <c r="N169" s="91"/>
      <c r="O169" s="19">
        <v>0</v>
      </c>
      <c r="P169" s="19">
        <v>0</v>
      </c>
    </row>
    <row r="170" spans="1:16" ht="18" hidden="1" customHeight="1" x14ac:dyDescent="0.25">
      <c r="A170" s="42">
        <v>323</v>
      </c>
      <c r="B170" s="43" t="s">
        <v>89</v>
      </c>
      <c r="C170" s="43"/>
      <c r="D170" s="43"/>
      <c r="E170" s="92">
        <f t="shared" si="18"/>
        <v>0</v>
      </c>
      <c r="F170" s="44">
        <f>SUM(F171:F172)</f>
        <v>0</v>
      </c>
      <c r="G170" s="44">
        <f t="shared" ref="G170:N170" si="22">SUM(G171:G172)</f>
        <v>0</v>
      </c>
      <c r="H170" s="44">
        <f>SUM(H171:H172)</f>
        <v>0</v>
      </c>
      <c r="I170" s="44">
        <f t="shared" si="22"/>
        <v>0</v>
      </c>
      <c r="J170" s="44">
        <f t="shared" si="22"/>
        <v>0</v>
      </c>
      <c r="K170" s="44">
        <f t="shared" si="22"/>
        <v>0</v>
      </c>
      <c r="L170" s="44">
        <f>SUM(L171:L172)</f>
        <v>0</v>
      </c>
      <c r="M170" s="44">
        <f t="shared" si="22"/>
        <v>0</v>
      </c>
      <c r="N170" s="45">
        <f t="shared" si="22"/>
        <v>0</v>
      </c>
    </row>
    <row r="171" spans="1:16" ht="15.6" hidden="1" customHeight="1" x14ac:dyDescent="0.25">
      <c r="A171" s="86">
        <v>3237</v>
      </c>
      <c r="B171" s="87" t="s">
        <v>123</v>
      </c>
      <c r="C171" s="87"/>
      <c r="D171" s="87"/>
      <c r="E171" s="88">
        <f t="shared" si="18"/>
        <v>0</v>
      </c>
      <c r="F171" s="100"/>
      <c r="G171" s="100"/>
      <c r="H171" s="100"/>
      <c r="I171" s="100"/>
      <c r="J171" s="100"/>
      <c r="K171" s="100"/>
      <c r="L171" s="100"/>
      <c r="M171" s="83"/>
      <c r="N171" s="91"/>
    </row>
    <row r="172" spans="1:16" ht="15.6" hidden="1" customHeight="1" x14ac:dyDescent="0.25">
      <c r="A172" s="86">
        <v>3239</v>
      </c>
      <c r="B172" s="87" t="s">
        <v>124</v>
      </c>
      <c r="C172" s="87"/>
      <c r="D172" s="87"/>
      <c r="E172" s="88">
        <f t="shared" si="18"/>
        <v>0</v>
      </c>
      <c r="F172" s="83"/>
      <c r="G172" s="100"/>
      <c r="H172" s="83"/>
      <c r="I172" s="100"/>
      <c r="J172" s="100"/>
      <c r="K172" s="100"/>
      <c r="L172" s="100"/>
      <c r="M172" s="83"/>
      <c r="N172" s="91"/>
    </row>
    <row r="173" spans="1:16" s="107" customFormat="1" ht="19.5" hidden="1" customHeight="1" x14ac:dyDescent="0.2">
      <c r="A173" s="493" t="s">
        <v>93</v>
      </c>
      <c r="B173" s="494"/>
      <c r="C173" s="102"/>
      <c r="D173" s="102"/>
      <c r="E173" s="39">
        <f>SUM(E164)</f>
        <v>0</v>
      </c>
      <c r="F173" s="39">
        <f>SUM(F164)</f>
        <v>0</v>
      </c>
      <c r="G173" s="39">
        <f t="shared" ref="G173:N173" si="23">SUM(G164)</f>
        <v>0</v>
      </c>
      <c r="H173" s="39">
        <f>SUM(H164)</f>
        <v>0</v>
      </c>
      <c r="I173" s="39">
        <f t="shared" si="23"/>
        <v>0</v>
      </c>
      <c r="J173" s="39">
        <f t="shared" si="23"/>
        <v>0</v>
      </c>
      <c r="K173" s="39">
        <f t="shared" si="23"/>
        <v>0</v>
      </c>
      <c r="L173" s="39">
        <f>SUM(L164)</f>
        <v>0</v>
      </c>
      <c r="M173" s="39">
        <f t="shared" si="23"/>
        <v>0</v>
      </c>
      <c r="N173" s="39">
        <f t="shared" si="23"/>
        <v>0</v>
      </c>
      <c r="O173" s="39" t="e">
        <f>SUM(#REF!,#REF!,#REF!,O170)</f>
        <v>#REF!</v>
      </c>
      <c r="P173" s="39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7" t="s">
        <v>78</v>
      </c>
    </row>
    <row r="177" spans="1:17" s="49" customFormat="1" ht="28.5" hidden="1" customHeight="1" x14ac:dyDescent="0.2">
      <c r="A177" s="471" t="s">
        <v>88</v>
      </c>
      <c r="B177" s="473" t="s">
        <v>52</v>
      </c>
      <c r="C177" s="24"/>
      <c r="D177" s="24"/>
      <c r="E177" s="475" t="s">
        <v>53</v>
      </c>
      <c r="F177" s="475" t="s">
        <v>54</v>
      </c>
      <c r="G177" s="475" t="s">
        <v>0</v>
      </c>
      <c r="H177" s="484"/>
      <c r="I177" s="485"/>
      <c r="J177" s="485"/>
      <c r="K177" s="485"/>
      <c r="L177" s="485"/>
      <c r="M177" s="481"/>
      <c r="N177" s="481"/>
      <c r="O177" s="48" t="s">
        <v>69</v>
      </c>
      <c r="P177" s="48" t="s">
        <v>70</v>
      </c>
    </row>
    <row r="178" spans="1:17" s="49" customFormat="1" ht="15" hidden="1" customHeight="1" x14ac:dyDescent="0.2">
      <c r="A178" s="472"/>
      <c r="B178" s="474"/>
      <c r="C178" s="25"/>
      <c r="D178" s="25"/>
      <c r="E178" s="476"/>
      <c r="F178" s="476"/>
      <c r="G178" s="476"/>
      <c r="H178" s="484"/>
      <c r="I178" s="485"/>
      <c r="J178" s="485"/>
      <c r="K178" s="485"/>
      <c r="L178" s="485"/>
      <c r="M178" s="481"/>
      <c r="N178" s="481"/>
      <c r="O178" s="50"/>
      <c r="P178" s="50"/>
    </row>
    <row r="179" spans="1:17" s="52" customFormat="1" ht="15.75" hidden="1" customHeight="1" x14ac:dyDescent="0.25">
      <c r="A179" s="26">
        <v>32</v>
      </c>
      <c r="B179" s="27" t="s">
        <v>6</v>
      </c>
      <c r="C179" s="27"/>
      <c r="D179" s="27"/>
      <c r="E179" s="28">
        <f>SUM(E180:E180)</f>
        <v>20000</v>
      </c>
      <c r="F179" s="28">
        <f>SUM(F180:F180)</f>
        <v>10000</v>
      </c>
      <c r="G179" s="29">
        <f>SUM(G180:G180)</f>
        <v>10000</v>
      </c>
      <c r="H179" s="41"/>
      <c r="I179" s="41"/>
      <c r="J179" s="41"/>
      <c r="K179" s="41"/>
      <c r="L179" s="41"/>
      <c r="M179" s="41"/>
      <c r="N179" s="41"/>
      <c r="O179" s="52">
        <v>0</v>
      </c>
      <c r="P179" s="52">
        <v>0</v>
      </c>
      <c r="Q179" s="52">
        <f>SUM(F179:K179)</f>
        <v>20000</v>
      </c>
    </row>
    <row r="180" spans="1:17" ht="14.25" hidden="1" customHeight="1" x14ac:dyDescent="0.25">
      <c r="A180" s="30">
        <v>322</v>
      </c>
      <c r="B180" s="31" t="s">
        <v>103</v>
      </c>
      <c r="C180" s="31"/>
      <c r="D180" s="31"/>
      <c r="E180" s="53">
        <v>20000</v>
      </c>
      <c r="F180" s="53">
        <v>10000</v>
      </c>
      <c r="G180" s="85">
        <v>10000</v>
      </c>
      <c r="H180" s="55"/>
      <c r="I180" s="55"/>
      <c r="J180" s="55"/>
      <c r="K180" s="55"/>
      <c r="L180" s="55"/>
      <c r="M180" s="55"/>
      <c r="N180" s="55"/>
      <c r="O180" s="19">
        <v>0</v>
      </c>
      <c r="P180" s="19">
        <v>0</v>
      </c>
      <c r="Q180" s="52"/>
    </row>
    <row r="181" spans="1:17" ht="31.15" hidden="1" customHeight="1" x14ac:dyDescent="0.25">
      <c r="A181" s="42">
        <v>42</v>
      </c>
      <c r="B181" s="43" t="s">
        <v>11</v>
      </c>
      <c r="C181" s="43"/>
      <c r="D181" s="43"/>
      <c r="E181" s="44">
        <f>SUM(E182:E182)</f>
        <v>80000</v>
      </c>
      <c r="F181" s="44">
        <f>SUM(F182:F182)</f>
        <v>90000</v>
      </c>
      <c r="G181" s="45">
        <f>SUM(G182:G182)</f>
        <v>90000</v>
      </c>
      <c r="H181" s="41"/>
      <c r="I181" s="41"/>
      <c r="J181" s="41"/>
      <c r="K181" s="41"/>
      <c r="L181" s="41"/>
      <c r="M181" s="41"/>
      <c r="N181" s="41"/>
      <c r="Q181" s="52">
        <f>SUM(F181:K181)</f>
        <v>180000</v>
      </c>
    </row>
    <row r="182" spans="1:17" ht="15.6" hidden="1" customHeight="1" x14ac:dyDescent="0.25">
      <c r="A182" s="34">
        <v>423</v>
      </c>
      <c r="B182" s="35" t="s">
        <v>128</v>
      </c>
      <c r="C182" s="35"/>
      <c r="D182" s="35"/>
      <c r="E182" s="56">
        <v>80000</v>
      </c>
      <c r="F182" s="56">
        <v>90000</v>
      </c>
      <c r="G182" s="57">
        <v>90000</v>
      </c>
      <c r="H182" s="55"/>
      <c r="I182" s="55"/>
      <c r="J182" s="55"/>
      <c r="K182" s="55"/>
      <c r="L182" s="55"/>
      <c r="M182" s="55"/>
      <c r="N182" s="55"/>
      <c r="Q182" s="52"/>
    </row>
    <row r="183" spans="1:17" s="47" customFormat="1" ht="15.6" hidden="1" customHeight="1" x14ac:dyDescent="0.25">
      <c r="A183" s="486" t="s">
        <v>93</v>
      </c>
      <c r="B183" s="487"/>
      <c r="C183" s="66"/>
      <c r="D183" s="66"/>
      <c r="E183" s="39">
        <f>SUM(E179,E181)</f>
        <v>100000</v>
      </c>
      <c r="F183" s="39">
        <f>SUM(F179,F181)</f>
        <v>100000</v>
      </c>
      <c r="G183" s="39">
        <f>SUM(G179,G181)</f>
        <v>100000</v>
      </c>
      <c r="H183" s="41"/>
      <c r="I183" s="41"/>
      <c r="J183" s="41"/>
      <c r="K183" s="41"/>
      <c r="L183" s="41"/>
      <c r="M183" s="41"/>
      <c r="N183" s="41"/>
      <c r="O183" s="79" t="e">
        <f>SUM(#REF!,O179,#REF!,#REF!,O181)</f>
        <v>#REF!</v>
      </c>
      <c r="P183" s="39" t="e">
        <f>SUM(#REF!,P179,#REF!,#REF!,P181)</f>
        <v>#REF!</v>
      </c>
      <c r="Q183" s="39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488" t="s">
        <v>129</v>
      </c>
      <c r="B185" s="488"/>
      <c r="C185" s="488"/>
      <c r="D185" s="488"/>
      <c r="E185" s="488"/>
      <c r="F185" s="488"/>
      <c r="G185" s="488"/>
    </row>
    <row r="186" spans="1:17" ht="15.6" hidden="1" customHeight="1" x14ac:dyDescent="0.25">
      <c r="A186" s="47" t="s">
        <v>130</v>
      </c>
    </row>
    <row r="187" spans="1:17" s="49" customFormat="1" ht="19.5" hidden="1" customHeight="1" x14ac:dyDescent="0.2">
      <c r="A187" s="471" t="s">
        <v>88</v>
      </c>
      <c r="B187" s="473" t="s">
        <v>52</v>
      </c>
      <c r="C187" s="24"/>
      <c r="D187" s="24"/>
      <c r="E187" s="475" t="s">
        <v>53</v>
      </c>
      <c r="F187" s="475" t="s">
        <v>54</v>
      </c>
      <c r="G187" s="475" t="s">
        <v>0</v>
      </c>
      <c r="H187" s="484"/>
      <c r="I187" s="485"/>
      <c r="J187" s="485"/>
      <c r="K187" s="485"/>
      <c r="L187" s="485"/>
      <c r="M187" s="481"/>
      <c r="N187" s="481"/>
      <c r="O187" s="48" t="s">
        <v>69</v>
      </c>
      <c r="P187" s="48" t="s">
        <v>70</v>
      </c>
    </row>
    <row r="188" spans="1:17" s="49" customFormat="1" ht="25.5" hidden="1" customHeight="1" x14ac:dyDescent="0.2">
      <c r="A188" s="472"/>
      <c r="B188" s="474"/>
      <c r="C188" s="25"/>
      <c r="D188" s="25"/>
      <c r="E188" s="476"/>
      <c r="F188" s="476"/>
      <c r="G188" s="476"/>
      <c r="H188" s="484"/>
      <c r="I188" s="485"/>
      <c r="J188" s="485"/>
      <c r="K188" s="485"/>
      <c r="L188" s="485"/>
      <c r="M188" s="481"/>
      <c r="N188" s="481"/>
      <c r="O188" s="50"/>
      <c r="P188" s="50"/>
    </row>
    <row r="189" spans="1:17" s="52" customFormat="1" ht="15.75" hidden="1" customHeight="1" x14ac:dyDescent="0.25">
      <c r="A189" s="26">
        <v>32</v>
      </c>
      <c r="B189" s="27" t="s">
        <v>6</v>
      </c>
      <c r="C189" s="27"/>
      <c r="D189" s="27"/>
      <c r="E189" s="28">
        <f>SUM(E190:E191)</f>
        <v>342462</v>
      </c>
      <c r="F189" s="28">
        <f>SUM(F190:F191)</f>
        <v>0</v>
      </c>
      <c r="G189" s="29">
        <f>SUM(G190:G191)</f>
        <v>0</v>
      </c>
      <c r="H189" s="41"/>
      <c r="I189" s="41"/>
      <c r="J189" s="41"/>
      <c r="K189" s="41"/>
      <c r="L189" s="41"/>
      <c r="M189" s="41"/>
      <c r="N189" s="41"/>
      <c r="O189" s="52">
        <v>0</v>
      </c>
      <c r="P189" s="52">
        <v>0</v>
      </c>
      <c r="Q189" s="52">
        <f>SUM(F189:K189)</f>
        <v>0</v>
      </c>
    </row>
    <row r="190" spans="1:17" ht="12.75" hidden="1" customHeight="1" x14ac:dyDescent="0.25">
      <c r="A190" s="30">
        <v>321</v>
      </c>
      <c r="B190" s="31" t="s">
        <v>102</v>
      </c>
      <c r="C190" s="31"/>
      <c r="D190" s="31"/>
      <c r="E190" s="53">
        <v>177000</v>
      </c>
      <c r="F190" s="83"/>
      <c r="G190" s="85"/>
      <c r="H190" s="55"/>
      <c r="I190" s="55"/>
      <c r="J190" s="55"/>
      <c r="K190" s="55"/>
      <c r="L190" s="55"/>
      <c r="M190" s="55"/>
      <c r="N190" s="55"/>
      <c r="O190" s="19">
        <v>0</v>
      </c>
      <c r="P190" s="19">
        <v>0</v>
      </c>
      <c r="Q190" s="52"/>
    </row>
    <row r="191" spans="1:17" ht="18" hidden="1" customHeight="1" x14ac:dyDescent="0.25">
      <c r="A191" s="30">
        <v>323</v>
      </c>
      <c r="B191" s="31" t="s">
        <v>89</v>
      </c>
      <c r="C191" s="31"/>
      <c r="D191" s="31"/>
      <c r="E191" s="53">
        <v>165462</v>
      </c>
      <c r="F191" s="53"/>
      <c r="G191" s="85"/>
      <c r="H191" s="55"/>
      <c r="I191" s="55"/>
      <c r="J191" s="55"/>
      <c r="K191" s="55"/>
      <c r="L191" s="55"/>
      <c r="M191" s="55"/>
      <c r="N191" s="55"/>
      <c r="Q191" s="52"/>
    </row>
    <row r="192" spans="1:17" ht="31.15" hidden="1" customHeight="1" x14ac:dyDescent="0.25">
      <c r="A192" s="42">
        <v>42</v>
      </c>
      <c r="B192" s="43" t="s">
        <v>131</v>
      </c>
      <c r="C192" s="43"/>
      <c r="D192" s="43"/>
      <c r="E192" s="44">
        <f>SUM(E193)</f>
        <v>17583221</v>
      </c>
      <c r="F192" s="44">
        <f>SUM(F193)</f>
        <v>0</v>
      </c>
      <c r="G192" s="45">
        <f>SUM(G193)</f>
        <v>0</v>
      </c>
      <c r="H192" s="41"/>
      <c r="I192" s="41"/>
      <c r="J192" s="41"/>
      <c r="K192" s="41"/>
      <c r="L192" s="41"/>
      <c r="M192" s="41"/>
      <c r="N192" s="41"/>
      <c r="Q192" s="52">
        <f>SUM(F192:K192)</f>
        <v>0</v>
      </c>
    </row>
    <row r="193" spans="1:17" ht="15.6" hidden="1" customHeight="1" x14ac:dyDescent="0.25">
      <c r="A193" s="30">
        <v>422</v>
      </c>
      <c r="B193" s="31" t="s">
        <v>92</v>
      </c>
      <c r="C193" s="31"/>
      <c r="D193" s="31"/>
      <c r="E193" s="53">
        <v>17583221</v>
      </c>
      <c r="F193" s="53"/>
      <c r="G193" s="54"/>
      <c r="H193" s="55"/>
      <c r="I193" s="55"/>
      <c r="J193" s="55"/>
      <c r="K193" s="55"/>
      <c r="L193" s="55"/>
      <c r="M193" s="55"/>
      <c r="N193" s="55"/>
      <c r="Q193" s="52"/>
    </row>
    <row r="194" spans="1:17" s="52" customFormat="1" ht="31.15" hidden="1" customHeight="1" x14ac:dyDescent="0.25">
      <c r="A194" s="42">
        <v>45</v>
      </c>
      <c r="B194" s="43" t="s">
        <v>132</v>
      </c>
      <c r="C194" s="43"/>
      <c r="D194" s="43"/>
      <c r="E194" s="44">
        <f>SUM(E195)</f>
        <v>15300000</v>
      </c>
      <c r="F194" s="44">
        <f>SUM(F195)</f>
        <v>0</v>
      </c>
      <c r="G194" s="45">
        <f>SUM(G195)</f>
        <v>0</v>
      </c>
      <c r="H194" s="41"/>
      <c r="I194" s="41"/>
      <c r="J194" s="41"/>
      <c r="K194" s="41"/>
      <c r="L194" s="41"/>
      <c r="M194" s="41"/>
      <c r="N194" s="41"/>
    </row>
    <row r="195" spans="1:17" ht="15.6" hidden="1" customHeight="1" x14ac:dyDescent="0.25">
      <c r="A195" s="30">
        <v>451</v>
      </c>
      <c r="B195" s="31" t="s">
        <v>133</v>
      </c>
      <c r="C195" s="31"/>
      <c r="D195" s="31"/>
      <c r="E195" s="53">
        <v>15300000</v>
      </c>
      <c r="F195" s="53"/>
      <c r="G195" s="54"/>
      <c r="H195" s="55"/>
      <c r="I195" s="55"/>
      <c r="J195" s="55"/>
      <c r="K195" s="55"/>
      <c r="L195" s="55"/>
      <c r="M195" s="55"/>
      <c r="N195" s="55"/>
    </row>
    <row r="196" spans="1:17" s="47" customFormat="1" ht="15.6" hidden="1" customHeight="1" x14ac:dyDescent="0.25">
      <c r="A196" s="495" t="s">
        <v>93</v>
      </c>
      <c r="B196" s="496"/>
      <c r="C196" s="108"/>
      <c r="D196" s="108"/>
      <c r="E196" s="109">
        <f>SUM(E189,E192,E194)</f>
        <v>33225683</v>
      </c>
      <c r="F196" s="109">
        <f>SUM(F189,F192,F194)</f>
        <v>0</v>
      </c>
      <c r="G196" s="109">
        <f>SUM(G189,G192,G194)</f>
        <v>0</v>
      </c>
      <c r="H196" s="41"/>
      <c r="I196" s="41"/>
      <c r="J196" s="41"/>
      <c r="K196" s="41"/>
      <c r="L196" s="41"/>
      <c r="M196" s="41"/>
      <c r="N196" s="41"/>
      <c r="O196" s="79" t="e">
        <f>SUM(#REF!,O189,#REF!,#REF!,O192)</f>
        <v>#REF!</v>
      </c>
      <c r="P196" s="39" t="e">
        <f>SUM(#REF!,P189,#REF!,#REF!,P192)</f>
        <v>#REF!</v>
      </c>
      <c r="Q196" s="39" t="e">
        <f>SUM(#REF!,Q189,#REF!,#REF!,Q192)</f>
        <v>#REF!</v>
      </c>
    </row>
    <row r="197" spans="1:17" s="110" customFormat="1" ht="11.25" hidden="1" customHeight="1" x14ac:dyDescent="0.2">
      <c r="A197" s="74"/>
      <c r="F197" s="111"/>
    </row>
    <row r="198" spans="1:17" ht="15.6" hidden="1" customHeight="1" x14ac:dyDescent="0.25">
      <c r="A198" s="488" t="s">
        <v>134</v>
      </c>
      <c r="B198" s="488"/>
      <c r="C198" s="488"/>
      <c r="D198" s="488"/>
      <c r="E198" s="488"/>
      <c r="F198" s="488"/>
      <c r="G198" s="488"/>
      <c r="H198" s="112"/>
      <c r="I198" s="112"/>
      <c r="J198" s="112"/>
      <c r="K198" s="112"/>
      <c r="L198" s="112"/>
      <c r="M198" s="50"/>
      <c r="N198" s="50"/>
    </row>
    <row r="199" spans="1:17" ht="14.25" hidden="1" customHeight="1" x14ac:dyDescent="0.25">
      <c r="A199" s="113"/>
      <c r="B199" s="113"/>
      <c r="C199" s="113"/>
      <c r="D199" s="113"/>
      <c r="E199" s="113"/>
      <c r="F199" s="113"/>
      <c r="G199" s="113"/>
      <c r="H199" s="112"/>
      <c r="I199" s="112"/>
      <c r="J199" s="112"/>
      <c r="K199" s="112"/>
      <c r="L199" s="112"/>
      <c r="M199" s="50"/>
      <c r="N199" s="50"/>
    </row>
    <row r="200" spans="1:17" ht="15.6" hidden="1" customHeight="1" x14ac:dyDescent="0.25">
      <c r="A200" s="47" t="s">
        <v>130</v>
      </c>
    </row>
    <row r="201" spans="1:17" s="49" customFormat="1" ht="27.75" hidden="1" customHeight="1" x14ac:dyDescent="0.2">
      <c r="A201" s="471" t="s">
        <v>88</v>
      </c>
      <c r="B201" s="473" t="s">
        <v>52</v>
      </c>
      <c r="C201" s="24"/>
      <c r="D201" s="24"/>
      <c r="E201" s="475" t="s">
        <v>53</v>
      </c>
      <c r="F201" s="475" t="s">
        <v>54</v>
      </c>
      <c r="G201" s="475" t="s">
        <v>0</v>
      </c>
      <c r="H201" s="484"/>
      <c r="I201" s="485"/>
      <c r="J201" s="485"/>
      <c r="K201" s="485"/>
      <c r="L201" s="485"/>
      <c r="M201" s="481"/>
      <c r="N201" s="481"/>
      <c r="O201" s="48" t="s">
        <v>69</v>
      </c>
      <c r="P201" s="48" t="s">
        <v>70</v>
      </c>
    </row>
    <row r="202" spans="1:17" s="49" customFormat="1" ht="15" hidden="1" customHeight="1" x14ac:dyDescent="0.2">
      <c r="A202" s="472"/>
      <c r="B202" s="474"/>
      <c r="C202" s="25"/>
      <c r="D202" s="25"/>
      <c r="E202" s="476"/>
      <c r="F202" s="476"/>
      <c r="G202" s="476"/>
      <c r="H202" s="484"/>
      <c r="I202" s="485"/>
      <c r="J202" s="485"/>
      <c r="K202" s="485"/>
      <c r="L202" s="485"/>
      <c r="M202" s="481"/>
      <c r="N202" s="481"/>
      <c r="O202" s="50"/>
      <c r="P202" s="50"/>
    </row>
    <row r="203" spans="1:17" s="52" customFormat="1" ht="31.15" hidden="1" customHeight="1" x14ac:dyDescent="0.25">
      <c r="A203" s="26">
        <v>45</v>
      </c>
      <c r="B203" s="27" t="s">
        <v>135</v>
      </c>
      <c r="C203" s="27"/>
      <c r="D203" s="27"/>
      <c r="E203" s="28">
        <f>SUM(E204)</f>
        <v>10687111</v>
      </c>
      <c r="F203" s="28">
        <f>SUM(F204)</f>
        <v>10687410</v>
      </c>
      <c r="G203" s="29">
        <f>SUM(G204)</f>
        <v>0</v>
      </c>
      <c r="H203" s="41"/>
      <c r="I203" s="41"/>
      <c r="J203" s="41"/>
      <c r="K203" s="41"/>
      <c r="L203" s="41"/>
      <c r="M203" s="41"/>
      <c r="N203" s="41"/>
    </row>
    <row r="204" spans="1:17" ht="16.5" hidden="1" customHeight="1" x14ac:dyDescent="0.25">
      <c r="A204" s="34">
        <v>451</v>
      </c>
      <c r="B204" s="35" t="s">
        <v>133</v>
      </c>
      <c r="C204" s="35"/>
      <c r="D204" s="35"/>
      <c r="E204" s="56">
        <v>10687111</v>
      </c>
      <c r="F204" s="56">
        <v>10687410</v>
      </c>
      <c r="G204" s="57"/>
      <c r="H204" s="55"/>
      <c r="I204" s="55"/>
      <c r="J204" s="55"/>
      <c r="K204" s="55"/>
      <c r="L204" s="55"/>
      <c r="M204" s="55"/>
      <c r="N204" s="55"/>
    </row>
    <row r="205" spans="1:17" s="47" customFormat="1" ht="15.6" hidden="1" customHeight="1" x14ac:dyDescent="0.25">
      <c r="A205" s="486" t="s">
        <v>93</v>
      </c>
      <c r="B205" s="487"/>
      <c r="C205" s="66"/>
      <c r="D205" s="66"/>
      <c r="E205" s="39">
        <f>SUM(E203)</f>
        <v>10687111</v>
      </c>
      <c r="F205" s="39">
        <f>SUM(F203)</f>
        <v>10687410</v>
      </c>
      <c r="G205" s="39">
        <f>SUM(G203)</f>
        <v>0</v>
      </c>
      <c r="H205" s="41"/>
      <c r="I205" s="41"/>
      <c r="J205" s="41"/>
      <c r="K205" s="41"/>
      <c r="L205" s="41"/>
      <c r="M205" s="41"/>
      <c r="N205" s="41"/>
      <c r="O205" s="79" t="e">
        <f>SUM(#REF!,#REF!,#REF!,#REF!,#REF!)</f>
        <v>#REF!</v>
      </c>
      <c r="P205" s="39" t="e">
        <f>SUM(#REF!,#REF!,#REF!,#REF!,#REF!)</f>
        <v>#REF!</v>
      </c>
      <c r="Q205" s="39" t="e">
        <f>SUM(#REF!,#REF!,#REF!,#REF!,#REF!)</f>
        <v>#REF!</v>
      </c>
    </row>
    <row r="206" spans="1:17" s="47" customFormat="1" ht="15.6" hidden="1" customHeight="1" x14ac:dyDescent="0.25">
      <c r="A206" s="40"/>
      <c r="B206" s="40"/>
      <c r="C206" s="40"/>
      <c r="D206" s="40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 ht="15.6" hidden="1" customHeight="1" x14ac:dyDescent="0.25">
      <c r="A207" s="488" t="s">
        <v>136</v>
      </c>
      <c r="B207" s="488"/>
      <c r="C207" s="488"/>
      <c r="D207" s="488"/>
      <c r="E207" s="488"/>
      <c r="F207" s="488"/>
      <c r="G207" s="488"/>
      <c r="H207" s="41"/>
      <c r="I207" s="41"/>
      <c r="J207" s="41"/>
      <c r="K207" s="41"/>
      <c r="L207" s="41"/>
      <c r="M207" s="41"/>
      <c r="N207" s="41"/>
    </row>
    <row r="208" spans="1:17" ht="15.6" hidden="1" customHeight="1" x14ac:dyDescent="0.25">
      <c r="A208" s="47" t="s">
        <v>130</v>
      </c>
    </row>
    <row r="209" spans="1:17" s="49" customFormat="1" ht="28.5" hidden="1" customHeight="1" x14ac:dyDescent="0.2">
      <c r="A209" s="471" t="s">
        <v>88</v>
      </c>
      <c r="B209" s="473" t="s">
        <v>52</v>
      </c>
      <c r="C209" s="24"/>
      <c r="D209" s="24"/>
      <c r="E209" s="475" t="s">
        <v>53</v>
      </c>
      <c r="F209" s="475" t="s">
        <v>54</v>
      </c>
      <c r="G209" s="475" t="s">
        <v>0</v>
      </c>
      <c r="H209" s="484"/>
      <c r="I209" s="485"/>
      <c r="J209" s="485"/>
      <c r="K209" s="485"/>
      <c r="L209" s="485"/>
      <c r="M209" s="481"/>
      <c r="N209" s="481"/>
      <c r="O209" s="48" t="s">
        <v>69</v>
      </c>
      <c r="P209" s="48" t="s">
        <v>70</v>
      </c>
    </row>
    <row r="210" spans="1:17" s="49" customFormat="1" ht="15" hidden="1" customHeight="1" x14ac:dyDescent="0.2">
      <c r="A210" s="472"/>
      <c r="B210" s="474"/>
      <c r="C210" s="25"/>
      <c r="D210" s="25"/>
      <c r="E210" s="476"/>
      <c r="F210" s="476"/>
      <c r="G210" s="476"/>
      <c r="H210" s="484"/>
      <c r="I210" s="485"/>
      <c r="J210" s="485"/>
      <c r="K210" s="485"/>
      <c r="L210" s="485"/>
      <c r="M210" s="481"/>
      <c r="N210" s="481"/>
      <c r="O210" s="50"/>
      <c r="P210" s="50"/>
    </row>
    <row r="211" spans="1:17" ht="31.15" hidden="1" customHeight="1" x14ac:dyDescent="0.25">
      <c r="A211" s="26">
        <v>42</v>
      </c>
      <c r="B211" s="27" t="s">
        <v>11</v>
      </c>
      <c r="C211" s="27"/>
      <c r="D211" s="27"/>
      <c r="E211" s="28">
        <f>SUM(E212)</f>
        <v>6000000</v>
      </c>
      <c r="F211" s="28">
        <f>SUM(F212)</f>
        <v>0</v>
      </c>
      <c r="G211" s="29">
        <f>SUM(G212)</f>
        <v>0</v>
      </c>
      <c r="H211" s="41"/>
      <c r="I211" s="41"/>
      <c r="J211" s="41"/>
      <c r="K211" s="41"/>
      <c r="L211" s="41"/>
      <c r="M211" s="41"/>
      <c r="N211" s="41"/>
      <c r="Q211" s="52">
        <f>SUM(F211:K211)</f>
        <v>0</v>
      </c>
    </row>
    <row r="212" spans="1:17" ht="15.6" hidden="1" customHeight="1" x14ac:dyDescent="0.25">
      <c r="A212" s="30">
        <v>422</v>
      </c>
      <c r="B212" s="31" t="s">
        <v>92</v>
      </c>
      <c r="C212" s="31"/>
      <c r="D212" s="31"/>
      <c r="E212" s="53">
        <v>6000000</v>
      </c>
      <c r="F212" s="53"/>
      <c r="G212" s="54"/>
      <c r="H212" s="55"/>
      <c r="I212" s="55"/>
      <c r="J212" s="55"/>
      <c r="K212" s="55"/>
      <c r="L212" s="55"/>
      <c r="M212" s="55"/>
      <c r="N212" s="55"/>
      <c r="Q212" s="52"/>
    </row>
    <row r="213" spans="1:17" s="52" customFormat="1" ht="31.15" hidden="1" customHeight="1" x14ac:dyDescent="0.25">
      <c r="A213" s="42">
        <v>45</v>
      </c>
      <c r="B213" s="43" t="s">
        <v>135</v>
      </c>
      <c r="C213" s="43"/>
      <c r="D213" s="43"/>
      <c r="E213" s="44">
        <f>SUM(E214)</f>
        <v>2500000</v>
      </c>
      <c r="F213" s="44">
        <f>SUM(F214)</f>
        <v>0</v>
      </c>
      <c r="G213" s="45">
        <f>SUM(G214)</f>
        <v>0</v>
      </c>
      <c r="H213" s="41"/>
      <c r="I213" s="41"/>
      <c r="J213" s="41"/>
      <c r="K213" s="41"/>
      <c r="L213" s="41"/>
      <c r="M213" s="41"/>
      <c r="N213" s="41"/>
    </row>
    <row r="214" spans="1:17" ht="15.6" hidden="1" customHeight="1" x14ac:dyDescent="0.25">
      <c r="A214" s="34">
        <v>451</v>
      </c>
      <c r="B214" s="35" t="s">
        <v>133</v>
      </c>
      <c r="C214" s="35"/>
      <c r="D214" s="35"/>
      <c r="E214" s="56">
        <v>2500000</v>
      </c>
      <c r="F214" s="56"/>
      <c r="G214" s="57"/>
      <c r="H214" s="55"/>
      <c r="I214" s="55"/>
      <c r="J214" s="55"/>
      <c r="K214" s="55"/>
      <c r="L214" s="55"/>
      <c r="M214" s="55"/>
      <c r="N214" s="55"/>
    </row>
    <row r="215" spans="1:17" s="47" customFormat="1" ht="15.6" hidden="1" customHeight="1" x14ac:dyDescent="0.25">
      <c r="A215" s="486" t="s">
        <v>93</v>
      </c>
      <c r="B215" s="487"/>
      <c r="C215" s="66"/>
      <c r="D215" s="66"/>
      <c r="E215" s="39">
        <f>SUM(E211,E213)</f>
        <v>8500000</v>
      </c>
      <c r="F215" s="39">
        <f>SUM(F211,F213)</f>
        <v>0</v>
      </c>
      <c r="G215" s="39">
        <f>SUM(G211,G213)</f>
        <v>0</v>
      </c>
      <c r="H215" s="41"/>
      <c r="I215" s="41"/>
      <c r="J215" s="41"/>
      <c r="K215" s="41"/>
      <c r="L215" s="41"/>
      <c r="M215" s="41"/>
      <c r="N215" s="41"/>
      <c r="O215" s="79" t="e">
        <f>SUM(#REF!,#REF!,#REF!,#REF!,O211)</f>
        <v>#REF!</v>
      </c>
      <c r="P215" s="39" t="e">
        <f>SUM(#REF!,#REF!,#REF!,#REF!,P211)</f>
        <v>#REF!</v>
      </c>
      <c r="Q215" s="39" t="e">
        <f>SUM(#REF!,#REF!,#REF!,#REF!,Q211)</f>
        <v>#REF!</v>
      </c>
    </row>
    <row r="216" spans="1:17" ht="22.5" hidden="1" customHeight="1" x14ac:dyDescent="0.25">
      <c r="A216" s="497" t="s">
        <v>137</v>
      </c>
      <c r="B216" s="497"/>
      <c r="C216" s="497"/>
      <c r="D216" s="497"/>
      <c r="E216" s="497"/>
      <c r="F216" s="497"/>
      <c r="G216" s="497"/>
    </row>
    <row r="217" spans="1:17" ht="15.6" hidden="1" customHeight="1" x14ac:dyDescent="0.25">
      <c r="E217" s="114"/>
    </row>
    <row r="218" spans="1:17" ht="15.6" hidden="1" customHeight="1" x14ac:dyDescent="0.25">
      <c r="A218" s="106">
        <v>1</v>
      </c>
      <c r="B218" s="47" t="s">
        <v>29</v>
      </c>
      <c r="C218" s="47"/>
      <c r="D218" s="47"/>
      <c r="E218" s="51">
        <f>SUM(E70)</f>
        <v>4243113</v>
      </c>
      <c r="F218" s="51">
        <f>SUM(F70)</f>
        <v>4243113</v>
      </c>
      <c r="G218" s="51">
        <f>SUM(G70)</f>
        <v>4243113</v>
      </c>
    </row>
    <row r="219" spans="1:17" ht="15.6" hidden="1" customHeight="1" x14ac:dyDescent="0.25">
      <c r="A219" s="106">
        <v>3</v>
      </c>
      <c r="B219" s="47" t="s">
        <v>43</v>
      </c>
      <c r="C219" s="47"/>
      <c r="D219" s="47"/>
      <c r="E219" s="51">
        <f>SUM(E84)</f>
        <v>2600000</v>
      </c>
      <c r="F219" s="51">
        <f>SUM(F84)</f>
        <v>2600000</v>
      </c>
      <c r="G219" s="51">
        <f>SUM(G84)</f>
        <v>2600000</v>
      </c>
    </row>
    <row r="220" spans="1:17" ht="15.6" hidden="1" customHeight="1" x14ac:dyDescent="0.25">
      <c r="A220" s="106">
        <v>4</v>
      </c>
      <c r="B220" s="47" t="s">
        <v>44</v>
      </c>
      <c r="C220" s="47"/>
      <c r="D220" s="47"/>
      <c r="E220" s="51">
        <f>SUM(E103)</f>
        <v>133878715</v>
      </c>
      <c r="F220" s="51">
        <f>SUM(F103)</f>
        <v>133103420</v>
      </c>
      <c r="G220" s="51">
        <f>SUM(G103)</f>
        <v>133093420</v>
      </c>
    </row>
    <row r="221" spans="1:17" ht="15.6" hidden="1" customHeight="1" x14ac:dyDescent="0.25">
      <c r="A221" s="106">
        <v>5</v>
      </c>
      <c r="B221" s="47" t="s">
        <v>138</v>
      </c>
      <c r="C221" s="47"/>
      <c r="D221" s="47"/>
      <c r="E221" s="51">
        <f>SUM(E196,E205,E215)</f>
        <v>52412794</v>
      </c>
      <c r="F221" s="51">
        <f>SUM(F196,F205,F215)</f>
        <v>10687410</v>
      </c>
      <c r="G221" s="51">
        <f>SUM(G196,G205,G215)</f>
        <v>0</v>
      </c>
    </row>
    <row r="222" spans="1:17" ht="15.6" hidden="1" customHeight="1" x14ac:dyDescent="0.25">
      <c r="A222" s="106">
        <v>6</v>
      </c>
      <c r="B222" s="47" t="s">
        <v>27</v>
      </c>
      <c r="C222" s="47"/>
      <c r="D222" s="47"/>
      <c r="E222" s="51">
        <f>SUM(E114)</f>
        <v>1140740</v>
      </c>
      <c r="F222" s="51">
        <f>SUM(F114)</f>
        <v>1000000</v>
      </c>
      <c r="G222" s="51">
        <f>SUM(G114)</f>
        <v>1000000</v>
      </c>
    </row>
    <row r="223" spans="1:17" ht="31.15" hidden="1" customHeight="1" x14ac:dyDescent="0.25">
      <c r="A223" s="101">
        <v>7</v>
      </c>
      <c r="B223" s="115" t="s">
        <v>14</v>
      </c>
      <c r="C223" s="115"/>
      <c r="D223" s="115"/>
      <c r="E223" s="41">
        <f>SUM(E183)</f>
        <v>100000</v>
      </c>
      <c r="F223" s="41">
        <f>SUM(F183)</f>
        <v>100000</v>
      </c>
      <c r="G223" s="41">
        <f>SUM(G183)</f>
        <v>100000</v>
      </c>
    </row>
    <row r="224" spans="1:17" ht="15.6" hidden="1" customHeight="1" x14ac:dyDescent="0.25">
      <c r="A224" s="106"/>
      <c r="B224" s="47"/>
      <c r="C224" s="47"/>
      <c r="D224" s="47"/>
      <c r="E224" s="51"/>
      <c r="F224" s="51"/>
      <c r="G224" s="51"/>
    </row>
    <row r="225" spans="1:16" ht="15.6" hidden="1" customHeight="1" x14ac:dyDescent="0.25">
      <c r="A225" s="78"/>
      <c r="B225" s="47"/>
      <c r="C225" s="47"/>
      <c r="D225" s="47"/>
      <c r="E225" s="51">
        <f>SUM(E218,E219,E220,E221,E222,E223)</f>
        <v>194375362</v>
      </c>
      <c r="F225" s="51">
        <f>SUM(F218,F219,F220,F221,F222,F223)</f>
        <v>151733943</v>
      </c>
      <c r="G225" s="51">
        <f>SUM(G218,G219,G220,G221,G222,G223)</f>
        <v>141036533</v>
      </c>
    </row>
    <row r="226" spans="1:16" ht="15.6" hidden="1" customHeight="1" x14ac:dyDescent="0.25">
      <c r="A226" s="78"/>
      <c r="B226" s="47"/>
      <c r="C226" s="47"/>
      <c r="D226" s="47"/>
      <c r="E226" s="51"/>
      <c r="F226" s="51"/>
      <c r="G226" s="51"/>
    </row>
    <row r="227" spans="1:16" ht="27.75" hidden="1" customHeight="1" x14ac:dyDescent="0.25">
      <c r="A227" s="498" t="s">
        <v>139</v>
      </c>
      <c r="B227" s="498"/>
      <c r="C227" s="498"/>
      <c r="D227" s="498"/>
      <c r="E227" s="498"/>
      <c r="F227" s="498"/>
      <c r="G227" s="498"/>
      <c r="H227" s="116"/>
    </row>
    <row r="228" spans="1:16" ht="15.6" hidden="1" customHeight="1" x14ac:dyDescent="0.25">
      <c r="A228" s="488" t="s">
        <v>85</v>
      </c>
      <c r="B228" s="488"/>
      <c r="C228" s="488"/>
      <c r="D228" s="488"/>
      <c r="E228" s="488"/>
      <c r="F228" s="40"/>
      <c r="G228" s="40"/>
      <c r="H228" s="116"/>
    </row>
    <row r="229" spans="1:16" ht="25.5" hidden="1" customHeight="1" x14ac:dyDescent="0.25">
      <c r="A229" s="499" t="s">
        <v>140</v>
      </c>
      <c r="B229" s="499"/>
      <c r="C229" s="499"/>
      <c r="D229" s="499"/>
      <c r="E229" s="499"/>
      <c r="F229" s="499"/>
      <c r="G229" s="499"/>
      <c r="H229" s="116"/>
    </row>
    <row r="230" spans="1:16" ht="15.6" hidden="1" customHeight="1" x14ac:dyDescent="0.25">
      <c r="A230" s="471" t="s">
        <v>88</v>
      </c>
      <c r="B230" s="473" t="s">
        <v>52</v>
      </c>
      <c r="C230" s="24"/>
      <c r="D230" s="24"/>
      <c r="E230" s="475" t="s">
        <v>53</v>
      </c>
      <c r="F230" s="475" t="s">
        <v>54</v>
      </c>
      <c r="G230" s="475" t="s">
        <v>0</v>
      </c>
      <c r="H230" s="116"/>
    </row>
    <row r="231" spans="1:16" ht="37.5" hidden="1" customHeight="1" x14ac:dyDescent="0.25">
      <c r="A231" s="472"/>
      <c r="B231" s="474"/>
      <c r="C231" s="25"/>
      <c r="D231" s="25"/>
      <c r="E231" s="476"/>
      <c r="F231" s="476"/>
      <c r="G231" s="476"/>
      <c r="H231" s="116"/>
    </row>
    <row r="232" spans="1:16" ht="15.6" hidden="1" customHeight="1" x14ac:dyDescent="0.25">
      <c r="A232" s="26">
        <v>922</v>
      </c>
      <c r="B232" s="27" t="s">
        <v>41</v>
      </c>
      <c r="C232" s="27"/>
      <c r="D232" s="27"/>
      <c r="E232" s="28">
        <f>SUM(E233:E233)</f>
        <v>16761388</v>
      </c>
      <c r="F232" s="28">
        <f>SUM(F233:F233)</f>
        <v>10000000</v>
      </c>
      <c r="G232" s="29">
        <f>SUM(G233:G233)</f>
        <v>10000000</v>
      </c>
    </row>
    <row r="233" spans="1:16" ht="15.6" hidden="1" customHeight="1" x14ac:dyDescent="0.25">
      <c r="A233" s="34">
        <v>92221</v>
      </c>
      <c r="B233" s="35" t="s">
        <v>141</v>
      </c>
      <c r="C233" s="35"/>
      <c r="D233" s="35"/>
      <c r="E233" s="56">
        <v>16761388</v>
      </c>
      <c r="F233" s="56">
        <v>10000000</v>
      </c>
      <c r="G233" s="37">
        <v>10000000</v>
      </c>
    </row>
    <row r="234" spans="1:16" ht="15.6" hidden="1" customHeight="1" x14ac:dyDescent="0.25">
      <c r="A234" s="486" t="s">
        <v>93</v>
      </c>
      <c r="B234" s="487"/>
      <c r="C234" s="66"/>
      <c r="D234" s="66"/>
      <c r="E234" s="39">
        <f>SUM(E232)</f>
        <v>16761388</v>
      </c>
      <c r="F234" s="39">
        <f>SUM(F232)</f>
        <v>10000000</v>
      </c>
      <c r="G234" s="39">
        <f>SUM(G232)</f>
        <v>10000000</v>
      </c>
    </row>
    <row r="235" spans="1:16" ht="15.6" hidden="1" customHeight="1" x14ac:dyDescent="0.25">
      <c r="A235" s="40"/>
      <c r="B235" s="40"/>
      <c r="C235" s="40"/>
      <c r="D235" s="40"/>
      <c r="E235" s="41"/>
      <c r="F235" s="41"/>
      <c r="G235" s="41"/>
    </row>
    <row r="236" spans="1:16" ht="15.6" hidden="1" customHeight="1" x14ac:dyDescent="0.25">
      <c r="A236" s="78"/>
      <c r="B236" s="47"/>
      <c r="C236" s="47"/>
      <c r="D236" s="47"/>
      <c r="E236" s="51"/>
      <c r="F236" s="51"/>
      <c r="G236" s="51"/>
    </row>
    <row r="237" spans="1:16" ht="15.6" hidden="1" customHeight="1" x14ac:dyDescent="0.25">
      <c r="A237" s="486" t="s">
        <v>18</v>
      </c>
      <c r="B237" s="487"/>
      <c r="C237" s="66"/>
      <c r="D237" s="66"/>
      <c r="E237" s="117">
        <f>SUM(E70,E84,E103,E114,E183,E196,E205,E215)</f>
        <v>194375362</v>
      </c>
      <c r="F237" s="117">
        <f>SUM(F70,F84,F103,F114,F183,F196,F205,F215)</f>
        <v>151733943</v>
      </c>
      <c r="G237" s="117">
        <f>SUM(G70,G84,G103,G114,G183,G196,G205,G215)</f>
        <v>141036533</v>
      </c>
      <c r="H237" s="47"/>
      <c r="I237" s="47"/>
      <c r="J237" s="47"/>
      <c r="K237" s="47"/>
      <c r="L237" s="47"/>
      <c r="M237" s="47"/>
      <c r="N237" s="47"/>
      <c r="O237" s="118" t="e">
        <f>SUM(#REF!,O119,#REF!,O146,O159,O173,#REF!)</f>
        <v>#REF!</v>
      </c>
      <c r="P237" s="117" t="e">
        <f>SUM(#REF!,P119,#REF!,P146,P159,P173,#REF!)</f>
        <v>#REF!</v>
      </c>
    </row>
    <row r="238" spans="1:16" ht="15.6" hidden="1" customHeight="1" x14ac:dyDescent="0.25">
      <c r="A238" s="486" t="s">
        <v>142</v>
      </c>
      <c r="B238" s="487"/>
      <c r="C238" s="66"/>
      <c r="D238" s="66"/>
      <c r="E238" s="67">
        <f>SUM(E237,E234)</f>
        <v>211136750</v>
      </c>
      <c r="F238" s="67">
        <f>SUM(F237,F234)</f>
        <v>161733943</v>
      </c>
      <c r="G238" s="67">
        <f>SUM(G237,G234)</f>
        <v>151036533</v>
      </c>
      <c r="H238" s="47"/>
      <c r="I238" s="47"/>
      <c r="J238" s="47"/>
      <c r="K238" s="47"/>
      <c r="L238" s="47"/>
      <c r="M238" s="47"/>
      <c r="N238" s="47"/>
      <c r="O238" s="47"/>
      <c r="P238" s="47"/>
    </row>
    <row r="239" spans="1:16" ht="15.6" hidden="1" customHeight="1" x14ac:dyDescent="0.25">
      <c r="A239" s="40"/>
      <c r="B239" s="40"/>
      <c r="C239" s="40"/>
      <c r="D239" s="40"/>
      <c r="E239" s="74"/>
      <c r="F239" s="74"/>
      <c r="G239" s="74"/>
      <c r="H239" s="47"/>
      <c r="I239" s="47"/>
      <c r="J239" s="47"/>
      <c r="K239" s="47"/>
      <c r="L239" s="47"/>
      <c r="M239" s="47"/>
      <c r="N239" s="47"/>
      <c r="O239" s="47"/>
      <c r="P239" s="47"/>
    </row>
    <row r="240" spans="1:16" x14ac:dyDescent="0.25">
      <c r="A240" s="119"/>
      <c r="B240" s="119"/>
      <c r="C240" s="119"/>
      <c r="D240" s="119"/>
      <c r="E240" s="120"/>
      <c r="F240" s="120"/>
      <c r="G240" s="120"/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8" ht="18.75" x14ac:dyDescent="0.25">
      <c r="A241" s="500" t="s">
        <v>143</v>
      </c>
      <c r="B241" s="500"/>
      <c r="C241" s="500"/>
      <c r="D241" s="500"/>
      <c r="E241" s="500"/>
      <c r="F241" s="500"/>
      <c r="G241" s="500"/>
      <c r="H241" s="121"/>
    </row>
    <row r="242" spans="1:8" x14ac:dyDescent="0.25">
      <c r="A242" s="121"/>
      <c r="B242" s="121"/>
      <c r="C242" s="121"/>
      <c r="D242" s="121"/>
      <c r="E242" s="122"/>
      <c r="F242" s="121"/>
      <c r="G242" s="121"/>
      <c r="H242" s="121"/>
    </row>
    <row r="243" spans="1:8" ht="46.5" customHeight="1" x14ac:dyDescent="0.25">
      <c r="A243" s="123" t="s">
        <v>144</v>
      </c>
      <c r="B243" s="124" t="s">
        <v>145</v>
      </c>
      <c r="C243" s="125" t="s">
        <v>165</v>
      </c>
      <c r="D243" s="125" t="s">
        <v>166</v>
      </c>
      <c r="E243" s="375" t="s">
        <v>172</v>
      </c>
      <c r="F243" s="375" t="s">
        <v>173</v>
      </c>
      <c r="G243" s="375" t="s">
        <v>174</v>
      </c>
    </row>
    <row r="244" spans="1:8" s="78" customFormat="1" x14ac:dyDescent="0.25">
      <c r="A244" s="126">
        <v>1</v>
      </c>
      <c r="B244" s="127" t="s">
        <v>146</v>
      </c>
      <c r="C244" s="158"/>
      <c r="D244" s="159"/>
      <c r="E244" s="160"/>
      <c r="F244" s="161"/>
      <c r="G244" s="162"/>
    </row>
    <row r="245" spans="1:8" x14ac:dyDescent="0.25">
      <c r="A245" s="128"/>
      <c r="B245" s="129" t="s">
        <v>147</v>
      </c>
      <c r="C245" s="165" t="e">
        <f>SUM('RAČUN PRIHODA I RASHODA'!#REF!)</f>
        <v>#REF!</v>
      </c>
      <c r="D245" s="166" t="e">
        <f>SUM('RAČUN PRIHODA I RASHODA'!#REF!)</f>
        <v>#REF!</v>
      </c>
      <c r="E245" s="166">
        <f>SUM('RAČUN PRIHODA I RASHODA'!E30)</f>
        <v>393666.37000000005</v>
      </c>
      <c r="F245" s="166">
        <f>SUM('RAČUN PRIHODA I RASHODA'!F30)</f>
        <v>500126</v>
      </c>
      <c r="G245" s="167">
        <f>SUM('RAČUN PRIHODA I RASHODA'!G30)</f>
        <v>489072.94999999995</v>
      </c>
    </row>
    <row r="246" spans="1:8" x14ac:dyDescent="0.25">
      <c r="A246" s="130"/>
      <c r="B246" s="131" t="s">
        <v>148</v>
      </c>
      <c r="C246" s="145" t="e">
        <f>SUM('RAČUN PRIHODA I RASHODA'!#REF!,'RAČUN PRIHODA I RASHODA'!#REF!,'RAČUN PRIHODA I RASHODA'!#REF!)</f>
        <v>#REF!</v>
      </c>
      <c r="D246" s="146" t="e">
        <f>SUM('RAČUN PRIHODA I RASHODA'!#REF!,'RAČUN PRIHODA I RASHODA'!#REF!,'RAČUN PRIHODA I RASHODA'!#REF!)</f>
        <v>#REF!</v>
      </c>
      <c r="E246" s="146">
        <f>'RAČUN PRIHODA I RASHODA'!E86+'RAČUN PRIHODA I RASHODA'!E158</f>
        <v>393666.42400000012</v>
      </c>
      <c r="F246" s="146">
        <f>'RAČUN PRIHODA I RASHODA'!F86+'RAČUN PRIHODA I RASHODA'!F158</f>
        <v>500126</v>
      </c>
      <c r="G246" s="386">
        <f>'RAČUN PRIHODA I RASHODA'!G86+'RAČUN PRIHODA I RASHODA'!G158</f>
        <v>489072.94999999995</v>
      </c>
    </row>
    <row r="247" spans="1:8" s="47" customFormat="1" x14ac:dyDescent="0.25">
      <c r="A247" s="501" t="s">
        <v>149</v>
      </c>
      <c r="B247" s="502"/>
      <c r="C247" s="136" t="e">
        <f t="shared" ref="C247:D247" si="24">SUM(C245-C246-C281)</f>
        <v>#REF!</v>
      </c>
      <c r="D247" s="136" t="e">
        <f t="shared" si="24"/>
        <v>#REF!</v>
      </c>
      <c r="E247" s="136">
        <f>SUM(E245-E246-E281)</f>
        <v>-5.4000000061932951E-2</v>
      </c>
      <c r="F247" s="136">
        <f>SUM(F245-F246-F281)</f>
        <v>0</v>
      </c>
      <c r="G247" s="137">
        <f>SUM(G245-G246-G281)</f>
        <v>0</v>
      </c>
    </row>
    <row r="248" spans="1:8" s="78" customFormat="1" x14ac:dyDescent="0.25">
      <c r="A248" s="126" t="s">
        <v>150</v>
      </c>
      <c r="B248" s="180" t="s">
        <v>43</v>
      </c>
      <c r="C248" s="176"/>
      <c r="D248" s="168"/>
      <c r="E248" s="168"/>
      <c r="F248" s="138"/>
      <c r="G248" s="139"/>
    </row>
    <row r="249" spans="1:8" x14ac:dyDescent="0.25">
      <c r="A249" s="128"/>
      <c r="B249" s="179" t="s">
        <v>147</v>
      </c>
      <c r="C249" s="174" t="e">
        <f>SUM('RAČUN PRIHODA I RASHODA'!#REF!)</f>
        <v>#REF!</v>
      </c>
      <c r="D249" s="133" t="e">
        <f>SUM('RAČUN PRIHODA I RASHODA'!#REF!)</f>
        <v>#REF!</v>
      </c>
      <c r="E249" s="133">
        <f>SUM('RAČUN PRIHODA I RASHODA'!E25)</f>
        <v>6255.75</v>
      </c>
      <c r="F249" s="133">
        <f>SUM('RAČUN PRIHODA I RASHODA'!F25)</f>
        <v>4000</v>
      </c>
      <c r="G249" s="134">
        <f>SUM('RAČUN PRIHODA I RASHODA'!G25)</f>
        <v>10500.65</v>
      </c>
    </row>
    <row r="250" spans="1:8" x14ac:dyDescent="0.25">
      <c r="A250" s="130"/>
      <c r="B250" s="181" t="s">
        <v>148</v>
      </c>
      <c r="C250" s="172" t="e">
        <f>SUM('RAČUN PRIHODA I RASHODA'!#REF!,'RAČUN PRIHODA I RASHODA'!#REF!,'RAČUN PRIHODA I RASHODA'!#REF!,'RAČUN PRIHODA I RASHODA'!#REF!,'RAČUN PRIHODA I RASHODA'!#REF!)</f>
        <v>#REF!</v>
      </c>
      <c r="D250" s="169" t="e">
        <f>SUM('RAČUN PRIHODA I RASHODA'!#REF!,'RAČUN PRIHODA I RASHODA'!#REF!,'RAČUN PRIHODA I RASHODA'!#REF!,'RAČUN PRIHODA I RASHODA'!#REF!,'RAČUN PRIHODA I RASHODA'!#REF!)</f>
        <v>#REF!</v>
      </c>
      <c r="E250" s="169">
        <f>'RAČUN PRIHODA I RASHODA'!E110</f>
        <v>2843.1</v>
      </c>
      <c r="F250" s="169">
        <f>'RAČUN PRIHODA I RASHODA'!F110</f>
        <v>7096.7699999999995</v>
      </c>
      <c r="G250" s="169">
        <f>'RAČUN PRIHODA I RASHODA'!G110</f>
        <v>5498.17</v>
      </c>
    </row>
    <row r="251" spans="1:8" x14ac:dyDescent="0.25">
      <c r="A251" s="501" t="s">
        <v>153</v>
      </c>
      <c r="B251" s="502"/>
      <c r="C251" s="135" t="e">
        <f>SUM(C249-C250)</f>
        <v>#REF!</v>
      </c>
      <c r="D251" s="136" t="e">
        <f>SUM(D249-D250)</f>
        <v>#REF!</v>
      </c>
      <c r="E251" s="136">
        <f t="shared" ref="E251:F251" si="25">SUM(E249-E250)</f>
        <v>3412.65</v>
      </c>
      <c r="F251" s="136">
        <f t="shared" si="25"/>
        <v>-3096.7699999999995</v>
      </c>
      <c r="G251" s="136">
        <f>SUM(G249-G250)</f>
        <v>5002.4799999999996</v>
      </c>
    </row>
    <row r="252" spans="1:8" s="78" customFormat="1" x14ac:dyDescent="0.25">
      <c r="A252" s="126" t="s">
        <v>152</v>
      </c>
      <c r="B252" s="180" t="s">
        <v>23</v>
      </c>
      <c r="C252" s="175"/>
      <c r="D252" s="170"/>
      <c r="E252" s="170"/>
      <c r="F252" s="140"/>
      <c r="G252" s="141"/>
    </row>
    <row r="253" spans="1:8" x14ac:dyDescent="0.25">
      <c r="A253" s="128"/>
      <c r="B253" s="179" t="s">
        <v>147</v>
      </c>
      <c r="C253" s="174" t="e">
        <f>SUM('RAČUN PRIHODA I RASHODA'!#REF!)</f>
        <v>#REF!</v>
      </c>
      <c r="D253" s="133" t="e">
        <f>SUM('RAČUN PRIHODA I RASHODA'!#REF!)</f>
        <v>#REF!</v>
      </c>
      <c r="E253" s="133">
        <f>SUM('RAČUN PRIHODA I RASHODA'!E15)</f>
        <v>4131</v>
      </c>
      <c r="F253" s="133">
        <f>SUM('RAČUN PRIHODA I RASHODA'!F15)</f>
        <v>6400</v>
      </c>
      <c r="G253" s="167">
        <f>SUM('RAČUN PRIHODA I RASHODA'!G15)</f>
        <v>5928</v>
      </c>
    </row>
    <row r="254" spans="1:8" x14ac:dyDescent="0.25">
      <c r="A254" s="130"/>
      <c r="B254" s="181" t="s">
        <v>148</v>
      </c>
      <c r="C254" s="172" t="e">
        <f>SUM('RAČUN PRIHODA I RASHODA'!#REF!,'RAČUN PRIHODA I RASHODA'!#REF!,'RAČUN PRIHODA I RASHODA'!#REF!,'RAČUN PRIHODA I RASHODA'!#REF!)</f>
        <v>#REF!</v>
      </c>
      <c r="D254" s="169" t="e">
        <f>SUM('RAČUN PRIHODA I RASHODA'!#REF!,'RAČUN PRIHODA I RASHODA'!#REF!,'RAČUN PRIHODA I RASHODA'!#REF!,'RAČUN PRIHODA I RASHODA'!#REF!)</f>
        <v>#REF!</v>
      </c>
      <c r="E254" s="169">
        <f>'RAČUN PRIHODA I RASHODA'!E125+'RAČUN PRIHODA I RASHODA'!E166</f>
        <v>843.63</v>
      </c>
      <c r="F254" s="169">
        <f>'RAČUN PRIHODA I RASHODA'!F125+'RAČUN PRIHODA I RASHODA'!F166</f>
        <v>9925.66</v>
      </c>
      <c r="G254" s="386">
        <f>'RAČUN PRIHODA I RASHODA'!G125+'RAČUN PRIHODA I RASHODA'!G166</f>
        <v>4348.75</v>
      </c>
    </row>
    <row r="255" spans="1:8" x14ac:dyDescent="0.25">
      <c r="A255" s="501" t="s">
        <v>153</v>
      </c>
      <c r="B255" s="502"/>
      <c r="C255" s="135" t="e">
        <f>SUM(C253-C254)</f>
        <v>#REF!</v>
      </c>
      <c r="D255" s="136" t="e">
        <f>SUM(D253-D254)</f>
        <v>#REF!</v>
      </c>
      <c r="E255" s="136">
        <f t="shared" ref="E255:F255" si="26">SUM(E253-E254)</f>
        <v>3287.37</v>
      </c>
      <c r="F255" s="136">
        <f t="shared" si="26"/>
        <v>-3525.66</v>
      </c>
      <c r="G255" s="136">
        <f>SUM(G253-G254)</f>
        <v>1579.25</v>
      </c>
    </row>
    <row r="256" spans="1:8" s="78" customFormat="1" x14ac:dyDescent="0.25">
      <c r="A256" s="126" t="s">
        <v>154</v>
      </c>
      <c r="B256" s="180" t="s">
        <v>21</v>
      </c>
      <c r="C256" s="175"/>
      <c r="D256" s="170"/>
      <c r="E256" s="170"/>
      <c r="F256" s="140"/>
      <c r="G256" s="141"/>
    </row>
    <row r="257" spans="1:7" x14ac:dyDescent="0.25">
      <c r="A257" s="128"/>
      <c r="B257" s="179" t="s">
        <v>147</v>
      </c>
      <c r="C257" s="174" t="e">
        <f>SUM('RAČUN PRIHODA I RASHODA'!#REF!)</f>
        <v>#REF!</v>
      </c>
      <c r="D257" s="133" t="e">
        <f>SUM('RAČUN PRIHODA I RASHODA'!#REF!)</f>
        <v>#REF!</v>
      </c>
      <c r="E257" s="133">
        <f>SUM('RAČUN PRIHODA I RASHODA'!E6)</f>
        <v>15161.16</v>
      </c>
      <c r="F257" s="133">
        <f>SUM('RAČUN PRIHODA I RASHODA'!F6)</f>
        <v>399</v>
      </c>
      <c r="G257" s="167">
        <f>SUM('RAČUN PRIHODA I RASHODA'!G6)</f>
        <v>467.68</v>
      </c>
    </row>
    <row r="258" spans="1:7" x14ac:dyDescent="0.25">
      <c r="A258" s="130"/>
      <c r="B258" s="181" t="s">
        <v>148</v>
      </c>
      <c r="C258" s="172" t="e">
        <f>SUM('RAČUN PRIHODA I RASHODA'!#REF!,'RAČUN PRIHODA I RASHODA'!#REF!,'RAČUN PRIHODA I RASHODA'!#REF!,'RAČUN PRIHODA I RASHODA'!#REF!)</f>
        <v>#REF!</v>
      </c>
      <c r="D258" s="169" t="e">
        <f>SUM('RAČUN PRIHODA I RASHODA'!#REF!,'RAČUN PRIHODA I RASHODA'!#REF!,'RAČUN PRIHODA I RASHODA'!#REF!,'RAČUN PRIHODA I RASHODA'!#REF!)</f>
        <v>#REF!</v>
      </c>
      <c r="E258" s="169">
        <f>'RAČUN PRIHODA I RASHODA'!E140</f>
        <v>11537.749999999998</v>
      </c>
      <c r="F258" s="169">
        <f>'RAČUN PRIHODA I RASHODA'!F140</f>
        <v>15417.53</v>
      </c>
      <c r="G258" s="386">
        <f>'RAČUN PRIHODA I RASHODA'!G140</f>
        <v>15486.05</v>
      </c>
    </row>
    <row r="259" spans="1:7" x14ac:dyDescent="0.25">
      <c r="A259" s="501" t="s">
        <v>153</v>
      </c>
      <c r="B259" s="502"/>
      <c r="C259" s="142" t="e">
        <f>SUM(C257-C258)</f>
        <v>#REF!</v>
      </c>
      <c r="D259" s="143" t="e">
        <f>SUM(D257-D258)</f>
        <v>#REF!</v>
      </c>
      <c r="E259" s="143">
        <f t="shared" ref="E259:F259" si="27">SUM(E257-E258)</f>
        <v>3623.4100000000017</v>
      </c>
      <c r="F259" s="143">
        <f t="shared" si="27"/>
        <v>-15018.53</v>
      </c>
      <c r="G259" s="143">
        <f>SUM(G257-G258)</f>
        <v>-15018.369999999999</v>
      </c>
    </row>
    <row r="260" spans="1:7" s="78" customFormat="1" x14ac:dyDescent="0.25">
      <c r="A260" s="126" t="s">
        <v>155</v>
      </c>
      <c r="B260" s="180" t="s">
        <v>27</v>
      </c>
      <c r="C260" s="175"/>
      <c r="D260" s="170"/>
      <c r="E260" s="170"/>
      <c r="F260" s="140"/>
      <c r="G260" s="141"/>
    </row>
    <row r="261" spans="1:7" x14ac:dyDescent="0.25">
      <c r="A261" s="128"/>
      <c r="B261" s="179" t="s">
        <v>147</v>
      </c>
      <c r="C261" s="174" t="e">
        <f>SUM('RAČUN PRIHODA I RASHODA'!#REF!)</f>
        <v>#REF!</v>
      </c>
      <c r="D261" s="133" t="e">
        <f>SUM('RAČUN PRIHODA I RASHODA'!#REF!)</f>
        <v>#REF!</v>
      </c>
      <c r="E261" s="133">
        <f>SUM('RAČUN PRIHODA I RASHODA'!E29)</f>
        <v>0</v>
      </c>
      <c r="F261" s="133">
        <f>SUM('RAČUN PRIHODA I RASHODA'!F29)</f>
        <v>900</v>
      </c>
      <c r="G261" s="167">
        <f>SUM('RAČUN PRIHODA I RASHODA'!G29)</f>
        <v>900</v>
      </c>
    </row>
    <row r="262" spans="1:7" x14ac:dyDescent="0.25">
      <c r="A262" s="130"/>
      <c r="B262" s="181" t="s">
        <v>148</v>
      </c>
      <c r="C262" s="172" t="e">
        <f>SUM('RAČUN PRIHODA I RASHODA'!#REF!,'RAČUN PRIHODA I RASHODA'!#REF!)</f>
        <v>#REF!</v>
      </c>
      <c r="D262" s="169" t="e">
        <f>SUM('RAČUN PRIHODA I RASHODA'!#REF!,'RAČUN PRIHODA I RASHODA'!#REF!)</f>
        <v>#REF!</v>
      </c>
      <c r="E262" s="169">
        <f>'RAČUN PRIHODA I RASHODA'!E148</f>
        <v>0</v>
      </c>
      <c r="F262" s="169">
        <f>'RAČUN PRIHODA I RASHODA'!F148</f>
        <v>900</v>
      </c>
      <c r="G262" s="386">
        <f>'RAČUN PRIHODA I RASHODA'!G148</f>
        <v>900</v>
      </c>
    </row>
    <row r="263" spans="1:7" x14ac:dyDescent="0.25">
      <c r="A263" s="501" t="s">
        <v>156</v>
      </c>
      <c r="B263" s="502"/>
      <c r="C263" s="142" t="e">
        <f>SUM(C261-C262)</f>
        <v>#REF!</v>
      </c>
      <c r="D263" s="143" t="e">
        <f>SUM(D261-D262)</f>
        <v>#REF!</v>
      </c>
      <c r="E263" s="143">
        <f>SUM(E261-E262)</f>
        <v>0</v>
      </c>
      <c r="F263" s="143">
        <f>SUM(F261-F262)</f>
        <v>0</v>
      </c>
      <c r="G263" s="144">
        <f>SUM(G261-G262)</f>
        <v>0</v>
      </c>
    </row>
    <row r="264" spans="1:7" ht="31.15" customHeight="1" x14ac:dyDescent="0.25">
      <c r="A264" s="126" t="s">
        <v>157</v>
      </c>
      <c r="B264" s="178" t="s">
        <v>14</v>
      </c>
      <c r="C264" s="173"/>
      <c r="D264" s="143"/>
      <c r="E264" s="143"/>
      <c r="F264" s="143"/>
      <c r="G264" s="144"/>
    </row>
    <row r="265" spans="1:7" ht="15.6" customHeight="1" x14ac:dyDescent="0.25">
      <c r="A265" s="128"/>
      <c r="B265" s="179" t="s">
        <v>147</v>
      </c>
      <c r="C265" s="174" t="e">
        <f>SUM('RAČUN PRIHODA I RASHODA'!#REF!)</f>
        <v>#REF!</v>
      </c>
      <c r="D265" s="133" t="e">
        <f>SUM('RAČUN PRIHODA I RASHODA'!#REF!)</f>
        <v>#REF!</v>
      </c>
      <c r="E265" s="133">
        <v>0</v>
      </c>
      <c r="F265" s="133">
        <v>0</v>
      </c>
      <c r="G265" s="134">
        <v>0</v>
      </c>
    </row>
    <row r="266" spans="1:7" ht="15.6" customHeight="1" x14ac:dyDescent="0.25">
      <c r="A266" s="132"/>
      <c r="B266" s="177" t="s">
        <v>148</v>
      </c>
      <c r="C266" s="172" t="e">
        <f>SUM('RAČUN PRIHODA I RASHODA'!#REF!)</f>
        <v>#REF!</v>
      </c>
      <c r="D266" s="169" t="e">
        <f>SUM('RAČUN PRIHODA I RASHODA'!#REF!)</f>
        <v>#REF!</v>
      </c>
      <c r="E266" s="169">
        <v>0</v>
      </c>
      <c r="F266" s="169">
        <v>0</v>
      </c>
      <c r="G266" s="171">
        <v>0</v>
      </c>
    </row>
    <row r="267" spans="1:7" x14ac:dyDescent="0.25">
      <c r="A267" s="501" t="s">
        <v>153</v>
      </c>
      <c r="B267" s="502"/>
      <c r="C267" s="142" t="e">
        <f>SUM(C265-C266)</f>
        <v>#REF!</v>
      </c>
      <c r="D267" s="143" t="e">
        <f>SUM(D265-D266)</f>
        <v>#REF!</v>
      </c>
      <c r="E267" s="143">
        <f>SUM(E265-E266)</f>
        <v>0</v>
      </c>
      <c r="F267" s="143">
        <f>SUM(F265-F266)</f>
        <v>0</v>
      </c>
      <c r="G267" s="144">
        <f>SUM(G265-G266)</f>
        <v>0</v>
      </c>
    </row>
    <row r="268" spans="1:7" x14ac:dyDescent="0.25">
      <c r="A268" s="126" t="s">
        <v>158</v>
      </c>
      <c r="B268" s="178" t="s">
        <v>159</v>
      </c>
      <c r="C268" s="173"/>
      <c r="D268" s="143"/>
      <c r="E268" s="143"/>
      <c r="F268" s="143"/>
      <c r="G268" s="144"/>
    </row>
    <row r="269" spans="1:7" x14ac:dyDescent="0.25">
      <c r="A269" s="128"/>
      <c r="B269" s="179" t="s">
        <v>160</v>
      </c>
      <c r="C269" s="174" t="e">
        <f>SUM('Račun financiranja'!#REF!)</f>
        <v>#REF!</v>
      </c>
      <c r="D269" s="174" t="e">
        <f>SUM('Račun financiranja'!#REF!)</f>
        <v>#REF!</v>
      </c>
      <c r="E269" s="174">
        <f>SUM('Račun financiranja'!G11)</f>
        <v>0</v>
      </c>
      <c r="F269" s="174">
        <v>0</v>
      </c>
      <c r="G269" s="167">
        <v>0</v>
      </c>
    </row>
    <row r="270" spans="1:7" x14ac:dyDescent="0.25">
      <c r="A270" s="132"/>
      <c r="B270" s="177" t="s">
        <v>161</v>
      </c>
      <c r="C270" s="169" t="e">
        <f>SUM('Račun financiranja'!#REF!)</f>
        <v>#REF!</v>
      </c>
      <c r="D270" s="169" t="e">
        <f>SUM('Račun financiranja'!#REF!)</f>
        <v>#REF!</v>
      </c>
      <c r="E270" s="169">
        <f>SUM('Račun financiranja'!G12)</f>
        <v>0</v>
      </c>
      <c r="F270" s="169">
        <v>0</v>
      </c>
      <c r="G270" s="386">
        <v>0</v>
      </c>
    </row>
    <row r="271" spans="1:7" x14ac:dyDescent="0.25">
      <c r="A271" s="501" t="s">
        <v>153</v>
      </c>
      <c r="B271" s="515"/>
      <c r="C271" s="142" t="e">
        <f>SUM(C269-C270)</f>
        <v>#REF!</v>
      </c>
      <c r="D271" s="143" t="e">
        <f>SUM(D269-D270)</f>
        <v>#REF!</v>
      </c>
      <c r="E271" s="143">
        <f>SUM(E269-E270)</f>
        <v>0</v>
      </c>
      <c r="F271" s="143">
        <f>SUM(F269-F270)</f>
        <v>0</v>
      </c>
      <c r="G271" s="144">
        <f>SUM(G269-G270)</f>
        <v>0</v>
      </c>
    </row>
    <row r="272" spans="1:7" x14ac:dyDescent="0.25">
      <c r="A272" s="513"/>
      <c r="B272" s="514"/>
      <c r="C272" s="182"/>
      <c r="D272" s="163"/>
      <c r="E272" s="163"/>
      <c r="F272" s="163"/>
      <c r="G272" s="164"/>
    </row>
    <row r="273" spans="1:7" x14ac:dyDescent="0.25">
      <c r="A273" s="505" t="s">
        <v>16</v>
      </c>
      <c r="B273" s="506"/>
      <c r="C273" s="183" t="e">
        <f>SUM(C245,C249,C253,C257,C261,C265,C269)</f>
        <v>#REF!</v>
      </c>
      <c r="D273" s="147" t="e">
        <f>SUM(D245,D249,D253,D257,D261,D265,D269)</f>
        <v>#REF!</v>
      </c>
      <c r="E273" s="147">
        <f>SUM(E245,E249,E253,E257,E261)</f>
        <v>419214.28</v>
      </c>
      <c r="F273" s="147">
        <f t="shared" ref="F273" si="28">SUM(F245,F249,F253,F257,F261)</f>
        <v>511825</v>
      </c>
      <c r="G273" s="148">
        <f>SUM(G245,G249,G253,G257,G261)</f>
        <v>506869.27999999997</v>
      </c>
    </row>
    <row r="274" spans="1:7" x14ac:dyDescent="0.25">
      <c r="A274" s="505" t="s">
        <v>17</v>
      </c>
      <c r="B274" s="506"/>
      <c r="C274" s="183" t="e">
        <f>SUM(C246,C250,C254,C258,C262,C266,C270)</f>
        <v>#REF!</v>
      </c>
      <c r="D274" s="147" t="e">
        <f>SUM(D246,D250,D254,D258,D262,D266,D270)</f>
        <v>#REF!</v>
      </c>
      <c r="E274" s="147">
        <f>SUM(E246,E250,E254,E258,E262)</f>
        <v>408890.9040000001</v>
      </c>
      <c r="F274" s="147">
        <f t="shared" ref="F274" si="29">SUM(F246,F250,F254,F258,F262)</f>
        <v>533465.96</v>
      </c>
      <c r="G274" s="148">
        <f>SUM(G246,G250,G254,G258,G262)</f>
        <v>515305.91999999993</v>
      </c>
    </row>
    <row r="275" spans="1:7" x14ac:dyDescent="0.25">
      <c r="A275" s="503"/>
      <c r="B275" s="507"/>
      <c r="C275" s="184"/>
      <c r="D275" s="149"/>
      <c r="E275" s="150"/>
      <c r="F275" s="149"/>
      <c r="G275" s="151"/>
    </row>
    <row r="276" spans="1:7" x14ac:dyDescent="0.25">
      <c r="A276" s="508"/>
      <c r="B276" s="509"/>
      <c r="C276" s="185"/>
      <c r="D276" s="152"/>
      <c r="E276" s="152"/>
      <c r="F276" s="152"/>
      <c r="G276" s="153"/>
    </row>
    <row r="277" spans="1:7" x14ac:dyDescent="0.25">
      <c r="A277" s="508" t="s">
        <v>151</v>
      </c>
      <c r="B277" s="509"/>
      <c r="C277" s="187" t="e">
        <f>-SUM(C251,C255)</f>
        <v>#REF!</v>
      </c>
      <c r="D277" s="152" t="e">
        <f>-SUM(D251,D255)</f>
        <v>#REF!</v>
      </c>
      <c r="E277" s="152">
        <v>0</v>
      </c>
      <c r="F277" s="152">
        <f>-SUM(F251,F255,F259)</f>
        <v>21640.959999999999</v>
      </c>
      <c r="G277" s="385">
        <f>-G259</f>
        <v>15018.369999999999</v>
      </c>
    </row>
    <row r="278" spans="1:7" x14ac:dyDescent="0.25">
      <c r="A278" s="505" t="s">
        <v>162</v>
      </c>
      <c r="B278" s="510"/>
      <c r="C278" s="186" t="e">
        <f>-SUM(C247)</f>
        <v>#REF!</v>
      </c>
      <c r="D278" s="147" t="e">
        <f>-SUM(D247)</f>
        <v>#REF!</v>
      </c>
      <c r="E278" s="147">
        <f>SUM(E247)</f>
        <v>-5.4000000061932951E-2</v>
      </c>
      <c r="F278" s="147">
        <f>SUM(F247)</f>
        <v>0</v>
      </c>
      <c r="G278" s="148"/>
    </row>
    <row r="279" spans="1:7" x14ac:dyDescent="0.25">
      <c r="A279" s="511"/>
      <c r="B279" s="512"/>
      <c r="C279" s="188"/>
      <c r="D279" s="154"/>
      <c r="E279" s="155"/>
      <c r="F279" s="154"/>
      <c r="G279" s="156"/>
    </row>
    <row r="280" spans="1:7" x14ac:dyDescent="0.25">
      <c r="A280" s="513" t="s">
        <v>163</v>
      </c>
      <c r="B280" s="514"/>
      <c r="C280" s="81" t="e">
        <f t="shared" ref="C280:E281" si="30">SUM(C269)</f>
        <v>#REF!</v>
      </c>
      <c r="D280" s="82" t="e">
        <f t="shared" si="30"/>
        <v>#REF!</v>
      </c>
      <c r="E280" s="82">
        <f>SUM(E269)</f>
        <v>0</v>
      </c>
      <c r="F280" s="82">
        <f t="shared" ref="F280:G281" si="31">SUM(F269)</f>
        <v>0</v>
      </c>
      <c r="G280" s="191">
        <f t="shared" si="31"/>
        <v>0</v>
      </c>
    </row>
    <row r="281" spans="1:7" x14ac:dyDescent="0.25">
      <c r="A281" s="503" t="s">
        <v>164</v>
      </c>
      <c r="B281" s="504"/>
      <c r="C281" s="192" t="e">
        <f t="shared" si="30"/>
        <v>#REF!</v>
      </c>
      <c r="D281" s="193" t="e">
        <f t="shared" si="30"/>
        <v>#REF!</v>
      </c>
      <c r="E281" s="193">
        <f t="shared" si="30"/>
        <v>0</v>
      </c>
      <c r="F281" s="193">
        <f t="shared" si="31"/>
        <v>0</v>
      </c>
      <c r="G281" s="194">
        <f t="shared" si="31"/>
        <v>0</v>
      </c>
    </row>
    <row r="282" spans="1:7" x14ac:dyDescent="0.25">
      <c r="E282" s="114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2025-03-27T08:53:25Z</cp:lastPrinted>
  <dcterms:created xsi:type="dcterms:W3CDTF">2022-08-26T07:26:16Z</dcterms:created>
  <dcterms:modified xsi:type="dcterms:W3CDTF">2025-03-27T08:54:49Z</dcterms:modified>
</cp:coreProperties>
</file>